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Yolanda Rosco\Desktop\"/>
    </mc:Choice>
  </mc:AlternateContent>
  <xr:revisionPtr revIDLastSave="0" documentId="8_{5FABCE52-5E54-4B9D-A8E3-07C48343F04F}" xr6:coauthVersionLast="47" xr6:coauthVersionMax="47" xr10:uidLastSave="{00000000-0000-0000-0000-000000000000}"/>
  <bookViews>
    <workbookView xWindow="2688" yWindow="2688" windowWidth="17280" windowHeight="8880" xr2:uid="{00000000-000D-0000-FFFF-FFFF00000000}"/>
  </bookViews>
  <sheets>
    <sheet name="Contratos 2025" sheetId="1" r:id="rId1"/>
    <sheet name="Resumen adjudicatarios" sheetId="2" r:id="rId2"/>
    <sheet name="Cálculo periodo medio" sheetId="3" r:id="rId3"/>
  </sheets>
  <definedNames>
    <definedName name="_xlnm._FilterDatabase" localSheetId="2" hidden="1">'Cálculo periodo medio'!$A$13:$G$213</definedName>
    <definedName name="_xlnm.Print_Area" localSheetId="2">'Cálculo periodo medio'!$A$1:$G$244</definedName>
    <definedName name="_xlnm.Print_Titles" localSheetId="2">'Cálculo periodo medio'!$1:$13</definedName>
  </definedNames>
  <calcPr calcId="191028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3" i="3" l="1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K2" i="1"/>
  <c r="F356" i="2"/>
  <c r="B356" i="2"/>
  <c r="F355" i="2"/>
  <c r="B355" i="2"/>
  <c r="F354" i="2"/>
  <c r="B354" i="2"/>
  <c r="F353" i="2"/>
  <c r="B353" i="2"/>
  <c r="F352" i="2"/>
  <c r="B352" i="2"/>
  <c r="F351" i="2"/>
  <c r="B351" i="2"/>
  <c r="F350" i="2"/>
  <c r="B350" i="2"/>
  <c r="F349" i="2"/>
  <c r="B349" i="2"/>
  <c r="F348" i="2"/>
  <c r="B348" i="2"/>
  <c r="F347" i="2"/>
  <c r="B347" i="2"/>
  <c r="F346" i="2"/>
  <c r="B346" i="2"/>
  <c r="F345" i="2"/>
  <c r="B345" i="2"/>
  <c r="F344" i="2"/>
  <c r="B344" i="2"/>
  <c r="F343" i="2"/>
  <c r="B343" i="2"/>
  <c r="F342" i="2"/>
  <c r="B342" i="2"/>
  <c r="F341" i="2"/>
  <c r="B341" i="2"/>
  <c r="F340" i="2"/>
  <c r="B340" i="2"/>
  <c r="F339" i="2"/>
  <c r="B339" i="2"/>
  <c r="F338" i="2"/>
  <c r="B338" i="2"/>
  <c r="F337" i="2"/>
  <c r="B337" i="2"/>
  <c r="F336" i="2"/>
  <c r="B336" i="2"/>
  <c r="F335" i="2"/>
  <c r="B335" i="2"/>
  <c r="F334" i="2"/>
  <c r="B334" i="2"/>
  <c r="F333" i="2"/>
  <c r="B333" i="2"/>
  <c r="F332" i="2"/>
  <c r="B332" i="2"/>
  <c r="F331" i="2"/>
  <c r="B331" i="2"/>
  <c r="F330" i="2"/>
  <c r="B330" i="2"/>
  <c r="F329" i="2"/>
  <c r="B329" i="2"/>
  <c r="F328" i="2"/>
  <c r="B328" i="2"/>
  <c r="F327" i="2"/>
  <c r="B327" i="2"/>
  <c r="F326" i="2"/>
  <c r="B326" i="2"/>
  <c r="F325" i="2"/>
  <c r="B325" i="2"/>
  <c r="F324" i="2"/>
  <c r="B324" i="2"/>
  <c r="F323" i="2"/>
  <c r="B323" i="2"/>
  <c r="F322" i="2"/>
  <c r="B322" i="2"/>
  <c r="F321" i="2"/>
  <c r="B321" i="2"/>
  <c r="F320" i="2"/>
  <c r="B320" i="2"/>
  <c r="F319" i="2"/>
  <c r="B319" i="2"/>
  <c r="F318" i="2"/>
  <c r="B318" i="2"/>
  <c r="F317" i="2"/>
  <c r="B317" i="2"/>
  <c r="F316" i="2"/>
  <c r="B316" i="2"/>
  <c r="F315" i="2"/>
  <c r="B315" i="2"/>
  <c r="F314" i="2"/>
  <c r="B314" i="2"/>
  <c r="F313" i="2"/>
  <c r="B313" i="2"/>
  <c r="F312" i="2"/>
  <c r="B312" i="2"/>
  <c r="F311" i="2"/>
  <c r="B311" i="2"/>
  <c r="F310" i="2"/>
  <c r="B310" i="2"/>
  <c r="F309" i="2"/>
  <c r="B309" i="2"/>
  <c r="F308" i="2"/>
  <c r="B308" i="2"/>
  <c r="F307" i="2"/>
  <c r="B307" i="2"/>
  <c r="F306" i="2"/>
  <c r="B306" i="2"/>
  <c r="F305" i="2"/>
  <c r="B305" i="2"/>
  <c r="F304" i="2"/>
  <c r="B304" i="2"/>
  <c r="F303" i="2"/>
  <c r="B303" i="2"/>
  <c r="F302" i="2"/>
  <c r="B302" i="2"/>
  <c r="F301" i="2"/>
  <c r="B301" i="2"/>
  <c r="F300" i="2"/>
  <c r="B300" i="2"/>
  <c r="F299" i="2"/>
  <c r="B299" i="2"/>
  <c r="F298" i="2"/>
  <c r="B298" i="2"/>
  <c r="F297" i="2"/>
  <c r="B297" i="2"/>
  <c r="F296" i="2"/>
  <c r="B296" i="2"/>
  <c r="F295" i="2"/>
  <c r="B295" i="2"/>
  <c r="F294" i="2"/>
  <c r="B294" i="2"/>
  <c r="F293" i="2"/>
  <c r="B293" i="2"/>
  <c r="F292" i="2"/>
  <c r="B292" i="2"/>
  <c r="F291" i="2"/>
  <c r="B291" i="2"/>
  <c r="F290" i="2"/>
  <c r="B290" i="2"/>
  <c r="F289" i="2"/>
  <c r="B289" i="2"/>
  <c r="F288" i="2"/>
  <c r="B288" i="2"/>
  <c r="F287" i="2"/>
  <c r="B287" i="2"/>
  <c r="F286" i="2"/>
  <c r="B286" i="2"/>
  <c r="F285" i="2"/>
  <c r="B285" i="2"/>
  <c r="F284" i="2"/>
  <c r="B284" i="2"/>
  <c r="F283" i="2"/>
  <c r="B283" i="2"/>
  <c r="F282" i="2"/>
  <c r="B282" i="2"/>
  <c r="F281" i="2"/>
  <c r="B281" i="2"/>
  <c r="F280" i="2"/>
  <c r="B280" i="2"/>
  <c r="F279" i="2"/>
  <c r="B279" i="2"/>
  <c r="F278" i="2"/>
  <c r="B278" i="2"/>
  <c r="F277" i="2"/>
  <c r="B277" i="2"/>
  <c r="F276" i="2"/>
  <c r="B276" i="2"/>
  <c r="F275" i="2"/>
  <c r="B275" i="2"/>
  <c r="F274" i="2"/>
  <c r="B274" i="2"/>
  <c r="F273" i="2"/>
  <c r="B273" i="2"/>
  <c r="F272" i="2"/>
  <c r="B272" i="2"/>
  <c r="F271" i="2"/>
  <c r="B271" i="2"/>
  <c r="F270" i="2"/>
  <c r="B270" i="2"/>
  <c r="F269" i="2"/>
  <c r="B269" i="2"/>
  <c r="F268" i="2"/>
  <c r="B268" i="2"/>
  <c r="F267" i="2"/>
  <c r="B267" i="2"/>
  <c r="F266" i="2"/>
  <c r="B266" i="2"/>
  <c r="F265" i="2"/>
  <c r="B265" i="2"/>
  <c r="F264" i="2"/>
  <c r="B264" i="2"/>
  <c r="F263" i="2"/>
  <c r="B263" i="2"/>
  <c r="F262" i="2"/>
  <c r="B262" i="2"/>
  <c r="F261" i="2"/>
  <c r="B261" i="2"/>
  <c r="F260" i="2"/>
  <c r="B260" i="2"/>
  <c r="F259" i="2"/>
  <c r="B259" i="2"/>
  <c r="F258" i="2"/>
  <c r="B258" i="2"/>
  <c r="F257" i="2"/>
  <c r="B257" i="2"/>
  <c r="F256" i="2"/>
  <c r="B256" i="2"/>
  <c r="F255" i="2"/>
  <c r="B255" i="2"/>
  <c r="F254" i="2"/>
  <c r="B254" i="2"/>
  <c r="F253" i="2"/>
  <c r="B253" i="2"/>
  <c r="F252" i="2"/>
  <c r="B252" i="2"/>
  <c r="F251" i="2"/>
  <c r="B251" i="2"/>
  <c r="F250" i="2"/>
  <c r="B250" i="2"/>
  <c r="F249" i="2"/>
  <c r="B249" i="2"/>
  <c r="F248" i="2"/>
  <c r="B248" i="2"/>
  <c r="F247" i="2"/>
  <c r="B247" i="2"/>
  <c r="F246" i="2"/>
  <c r="B246" i="2"/>
  <c r="F245" i="2"/>
  <c r="B245" i="2"/>
  <c r="F244" i="2"/>
  <c r="B244" i="2"/>
  <c r="F243" i="2"/>
  <c r="B243" i="2"/>
  <c r="F242" i="2"/>
  <c r="B242" i="2"/>
  <c r="F241" i="2"/>
  <c r="B241" i="2"/>
  <c r="F240" i="2"/>
  <c r="B240" i="2"/>
  <c r="F239" i="2"/>
  <c r="B239" i="2"/>
  <c r="F238" i="2"/>
  <c r="B238" i="2"/>
  <c r="F237" i="2"/>
  <c r="B237" i="2"/>
  <c r="F236" i="2"/>
  <c r="B236" i="2"/>
  <c r="F235" i="2"/>
  <c r="B235" i="2"/>
  <c r="F234" i="2"/>
  <c r="B234" i="2"/>
  <c r="F233" i="2"/>
  <c r="B233" i="2"/>
  <c r="F232" i="2"/>
  <c r="B232" i="2"/>
  <c r="F231" i="2"/>
  <c r="B231" i="2"/>
  <c r="F230" i="2"/>
  <c r="B230" i="2"/>
  <c r="F229" i="2"/>
  <c r="B229" i="2"/>
  <c r="F228" i="2"/>
  <c r="B228" i="2"/>
  <c r="F227" i="2"/>
  <c r="B227" i="2"/>
  <c r="F226" i="2"/>
  <c r="B226" i="2"/>
  <c r="F225" i="2"/>
  <c r="B225" i="2"/>
  <c r="F224" i="2"/>
  <c r="B224" i="2"/>
  <c r="F223" i="2"/>
  <c r="B223" i="2"/>
  <c r="F222" i="2"/>
  <c r="B222" i="2"/>
  <c r="F221" i="2"/>
  <c r="B221" i="2"/>
  <c r="F220" i="2"/>
  <c r="B220" i="2"/>
  <c r="F219" i="2"/>
  <c r="B219" i="2"/>
  <c r="F218" i="2"/>
  <c r="B218" i="2"/>
  <c r="F217" i="2"/>
  <c r="B217" i="2"/>
  <c r="F216" i="2"/>
  <c r="B216" i="2"/>
  <c r="F215" i="2"/>
  <c r="B215" i="2"/>
  <c r="F214" i="2"/>
  <c r="B214" i="2"/>
  <c r="F213" i="2"/>
  <c r="B213" i="2"/>
  <c r="F212" i="2"/>
  <c r="B212" i="2"/>
  <c r="F211" i="2"/>
  <c r="B211" i="2"/>
  <c r="F210" i="2"/>
  <c r="B210" i="2"/>
  <c r="F209" i="2"/>
  <c r="B209" i="2"/>
  <c r="F208" i="2"/>
  <c r="B208" i="2"/>
  <c r="F207" i="2"/>
  <c r="B207" i="2"/>
  <c r="F206" i="2"/>
  <c r="B206" i="2"/>
  <c r="F205" i="2"/>
  <c r="B205" i="2"/>
  <c r="F204" i="2"/>
  <c r="B204" i="2"/>
  <c r="F203" i="2"/>
  <c r="B203" i="2"/>
  <c r="F202" i="2"/>
  <c r="B202" i="2"/>
  <c r="F201" i="2"/>
  <c r="B201" i="2"/>
  <c r="F200" i="2"/>
  <c r="B200" i="2"/>
  <c r="F199" i="2"/>
  <c r="B199" i="2"/>
  <c r="F198" i="2"/>
  <c r="B198" i="2"/>
  <c r="F197" i="2"/>
  <c r="B197" i="2"/>
  <c r="F196" i="2"/>
  <c r="B196" i="2"/>
  <c r="F195" i="2"/>
  <c r="B195" i="2"/>
  <c r="F194" i="2"/>
  <c r="B194" i="2"/>
  <c r="F193" i="2"/>
  <c r="B193" i="2"/>
  <c r="F192" i="2"/>
  <c r="B192" i="2"/>
  <c r="F191" i="2"/>
  <c r="B191" i="2"/>
  <c r="F190" i="2"/>
  <c r="B190" i="2"/>
  <c r="F189" i="2"/>
  <c r="B189" i="2"/>
  <c r="F188" i="2"/>
  <c r="B188" i="2"/>
  <c r="F187" i="2"/>
  <c r="B187" i="2"/>
  <c r="F186" i="2"/>
  <c r="B186" i="2"/>
  <c r="F185" i="2"/>
  <c r="B185" i="2"/>
  <c r="F184" i="2"/>
  <c r="B184" i="2"/>
  <c r="F183" i="2"/>
  <c r="B183" i="2"/>
  <c r="F182" i="2"/>
  <c r="B182" i="2"/>
  <c r="F181" i="2"/>
  <c r="B181" i="2"/>
  <c r="F180" i="2"/>
  <c r="B180" i="2"/>
  <c r="F179" i="2"/>
  <c r="B179" i="2"/>
  <c r="F178" i="2"/>
  <c r="B178" i="2"/>
  <c r="F177" i="2"/>
  <c r="B177" i="2"/>
  <c r="F176" i="2"/>
  <c r="B176" i="2"/>
  <c r="F175" i="2"/>
  <c r="B175" i="2"/>
  <c r="F174" i="2"/>
  <c r="B174" i="2"/>
  <c r="F173" i="2"/>
  <c r="B173" i="2"/>
  <c r="F172" i="2"/>
  <c r="B172" i="2"/>
  <c r="F171" i="2"/>
  <c r="B171" i="2"/>
  <c r="F170" i="2"/>
  <c r="B170" i="2"/>
  <c r="F169" i="2"/>
  <c r="B169" i="2"/>
  <c r="F168" i="2"/>
  <c r="B168" i="2"/>
  <c r="F167" i="2"/>
  <c r="B167" i="2"/>
  <c r="F166" i="2"/>
  <c r="B166" i="2"/>
  <c r="F165" i="2"/>
  <c r="B165" i="2"/>
  <c r="F164" i="2"/>
  <c r="B164" i="2"/>
  <c r="F163" i="2"/>
  <c r="B163" i="2"/>
  <c r="F162" i="2"/>
  <c r="B162" i="2"/>
  <c r="F161" i="2"/>
  <c r="B161" i="2"/>
  <c r="F160" i="2"/>
  <c r="B160" i="2"/>
  <c r="F159" i="2"/>
  <c r="B159" i="2"/>
  <c r="F158" i="2"/>
  <c r="B158" i="2"/>
  <c r="F157" i="2"/>
  <c r="B157" i="2"/>
  <c r="F156" i="2"/>
  <c r="B156" i="2"/>
  <c r="F155" i="2"/>
  <c r="B155" i="2"/>
  <c r="F154" i="2"/>
  <c r="B154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A5" i="3" l="1"/>
</calcChain>
</file>

<file path=xl/sharedStrings.xml><?xml version="1.0" encoding="utf-8"?>
<sst xmlns="http://schemas.openxmlformats.org/spreadsheetml/2006/main" count="2814" uniqueCount="990">
  <si>
    <t>EXPTE.</t>
  </si>
  <si>
    <t>OBJETO</t>
  </si>
  <si>
    <t>TIPO DE CONTRATO</t>
  </si>
  <si>
    <t>PROCEDIMIENTO</t>
  </si>
  <si>
    <t>APROBACIÓN DE EXPEDIENTE</t>
  </si>
  <si>
    <t>ADJUDICATARIO</t>
  </si>
  <si>
    <t>PRECIO-ADJ (IVA incluido)</t>
  </si>
  <si>
    <t>FORMALIZACIÓN CONTRATO</t>
  </si>
  <si>
    <t>INFORMACIÓN DE LOS CONTRATOS</t>
  </si>
  <si>
    <t>TIEMPO MEDIO RESOLUCIÓN (días)</t>
  </si>
  <si>
    <t>CONSULTA</t>
  </si>
  <si>
    <t>2024/PA/029</t>
  </si>
  <si>
    <t>SERVICIO DE CAFETERÍA Y COMEDOR DEL CENTRO MUNICIPAL DE MAYORES PADRE VALLET</t>
  </si>
  <si>
    <t>ADMINISTRATIVO ESPECIAL</t>
  </si>
  <si>
    <t>ABIERTO</t>
  </si>
  <si>
    <t>04/12/2024</t>
  </si>
  <si>
    <t>MAISON ECLAT PEDROSA S.L.</t>
  </si>
  <si>
    <t>---</t>
  </si>
  <si>
    <t>21/04/2025</t>
  </si>
  <si>
    <t>https://contrataciondelestado.es/wps/poc?uri=deeplink:detalle_licitacion&amp;idEvl=6Is%2B9dFYSE7i0Kd8%2Brcp6w%3D%3D</t>
  </si>
  <si>
    <t>2025/PA/029</t>
  </si>
  <si>
    <t>SERVICIO DE PELUQUERIA CENTRO DE MAYORES PADRE VALLET</t>
  </si>
  <si>
    <t>MARTPEL 13 SERVICIOS PELUQUERIA, S.L.U.</t>
  </si>
  <si>
    <t>https://contrataciondelestado.es/wps/poc?uri=deeplink:detalle_licitacion&amp;idEvl=Mv7OwG2Y2Ormnwcj%2BxbdTg%3D%3D</t>
  </si>
  <si>
    <t>2025/PASA/005</t>
  </si>
  <si>
    <t>REPOSICION Y ACONDICIONAMIENTO DEL SUELO DE LA ZONA FITNESS DEL POLIDEPORTIVO CARLOS RUIZ</t>
  </si>
  <si>
    <t>MIXTO (SUMINISTRO Y OBRAS)</t>
  </si>
  <si>
    <t>ABIERTO SIMPLIFICADO ABREVIADO</t>
  </si>
  <si>
    <t>MOYPE SPORT, S.A.</t>
  </si>
  <si>
    <t>https://contrataciondelestado.es/wps/poc?uri=deeplink:detalle_licitacion&amp;idEvl=EPS4WOwrt1wtm4eBPtV6eQ%3D%3D</t>
  </si>
  <si>
    <t>2024/PA/022</t>
  </si>
  <si>
    <t>SUMINISTRO, ADMINISTRACIÓN, SOPORTE Y MANTENIMIENTO DE LA PLATAFORMA ANTIVIRUS TRELLIX</t>
  </si>
  <si>
    <t>MIXTO (SUMINISTRO Y SERVICIOS)</t>
  </si>
  <si>
    <t>TELEFONICA SOLUCIONES DE INFORMATICA Y COMUNICACIONES DE ESPAÑA, S.A.U.</t>
  </si>
  <si>
    <t>https://contrataciondelestado.es/wps/poc?uri=deeplink:detalle_licitacion&amp;idEvl=wSZRgiWf5Fs36J9Lctlsuw%3D%3D</t>
  </si>
  <si>
    <t>2025/PAS/012</t>
  </si>
  <si>
    <t>SUMINISTRO DE UN SISTEMA INTEGRAL DE GESTIÓN DE ACCESO A ORDENADORES DE SALA Y GESTIÓN DE IMPRESIÓN DE BIBLIOTECAS</t>
  </si>
  <si>
    <t>ABIERTO SIMPLIFICADO</t>
  </si>
  <si>
    <t>IS SW EU,S.L.U.</t>
  </si>
  <si>
    <t>https://contrataciondelestado.es/wps/poc?uri=deeplink:detalle_licitacion&amp;idEvl=odAk3vz6EQY%2Bk2oCbDosIw%3D%3D</t>
  </si>
  <si>
    <t>2025/PASA/001
 Lote 1</t>
  </si>
  <si>
    <t>ORGANIZACIÓN DE LA FERIA DEL LIBRO 2025 Lote 1. Alquiler de casetas y otras infraestructuras</t>
  </si>
  <si>
    <t>26/02/2025</t>
  </si>
  <si>
    <t>INSELEX RENTAL, S.L.</t>
  </si>
  <si>
    <t>30.008,00 €</t>
  </si>
  <si>
    <t>11/04/2025</t>
  </si>
  <si>
    <t>https://contrataciondelestado.es/wps/poc?uri=deeplink:detalle_licitacion&amp;idEvl=rNjIfyUxlY%2BopEMYCmrbmw%3D%3D</t>
  </si>
  <si>
    <t>2025/PASA/001
Lote 3</t>
  </si>
  <si>
    <t>ORGANIZACIÓN DE LA FERIA DEL LIBRO 2025 Lote 3 Servicio de apoyo</t>
  </si>
  <si>
    <t>CENTRO DE ACTIVIDADES VERA, S.L</t>
  </si>
  <si>
    <t>3.134,72 €</t>
  </si>
  <si>
    <t>14/04/2025</t>
  </si>
  <si>
    <t>2023/PA/031</t>
  </si>
  <si>
    <t>IMPLANTACIÓN Y PUESTA EN FUNCIONAMIENTO DE LAS ZONAS DE BAJAS EMISIONES (ZBE) DE POZUELO DE ALARCON</t>
  </si>
  <si>
    <t>MIXTO (SUMINISTRO, OBRA Y SERVICIOS)</t>
  </si>
  <si>
    <t>30/10/2024</t>
  </si>
  <si>
    <t>SOCIEDAD IBERICA DE CONSTRUCCIONES ELECTRICAS, S.A.</t>
  </si>
  <si>
    <t>1.061.943,38 €</t>
  </si>
  <si>
    <t>30/04/2025</t>
  </si>
  <si>
    <t>https://contrataciondelestado.es/wps/poc?uri=deeplink:detalle_licitacion&amp;idEvl=h%2F1R5t81LPl%2FR5QFTlaM4A%3D%3D</t>
  </si>
  <si>
    <t>2025/PA/001</t>
  </si>
  <si>
    <t>OBRAS DE CONSTRUCCIÓN DE EDIFICIOS Y PISCINA CLIMATIZADA EN EL COMPLEJO DEPORTIVO CARLOS RUIZ</t>
  </si>
  <si>
    <t>OBRAS</t>
  </si>
  <si>
    <t>TALLER DE CONSTRUCCION TMR, S.A.</t>
  </si>
  <si>
    <t>https://contrataciondelestado.es/wps/poc?uri=deeplink:detalle_licitacion&amp;idEvl=sObfzxMm8S9%2FR5QFTlaM4A%3D%3D</t>
  </si>
  <si>
    <t>2025/PAS/001</t>
  </si>
  <si>
    <t>OBRAS DE ACONDICIONAMIENTO PROVISIONAL DE UN ÁREA DE JUEGOS INFANTILES EN LA CALLE DIAMANTE</t>
  </si>
  <si>
    <t>ACTIVA PARQUES Y JARDINES S L</t>
  </si>
  <si>
    <t>https://contrataciondelestado.es/wps/poc?uri=deeplink:detalle_licitacion&amp;idEvl=M79z5xw4uTe8ebB%2FXTwy0A%3D%3D</t>
  </si>
  <si>
    <t>2025/PAS/002</t>
  </si>
  <si>
    <t>OBRAS DE AJARDINAMIENTO DE LA ROTONDA DE LA CALLE CANADA</t>
  </si>
  <si>
    <t>EULEN, S.A,</t>
  </si>
  <si>
    <t>https://contrataciondelestado.es/wps/poc?uri=deeplink:detalle_licitacion&amp;idEvl=XbOH4Z1uUT5xseVhcqrkhw%3D%3D</t>
  </si>
  <si>
    <t>2025/PAS/003</t>
  </si>
  <si>
    <t>OBRAS ÁREA DE ESPARCIMIENTO CANINO EN CALLE ABREGO PRADO DE SOMOSAGUAS</t>
  </si>
  <si>
    <t>EULEN, S.A.</t>
  </si>
  <si>
    <t>https://contrataciondelestado.es/wps/poc?uri=deeplink:detalle_licitacion&amp;idEvl=tB13ZEOdPEmIzo3LHNPGcQ%3D%3D</t>
  </si>
  <si>
    <t>2025/PAS/004</t>
  </si>
  <si>
    <t>OBRAS PARA LA DEFENSA Y REFORESTACION DE MARGENES EN LAS LAGUNAS DEL PARQUE FORESTAL DE SOMOSAGUAS ADOLFO SUAREZ</t>
  </si>
  <si>
    <t>TBF ESPACIOS VERDES, S.L,</t>
  </si>
  <si>
    <t>https://contrataciondelestado.es/wps/poc?uri=deeplink:detalle_licitacion&amp;idEvl=NXZDd4L1XpaOUi78BmzhOQ%3D%3D</t>
  </si>
  <si>
    <t>2025/PAS/007</t>
  </si>
  <si>
    <t>OBRAS DE REHABILITACIÓN DE CUBIERTA POLIDEPORTIVO EL PRADILLO</t>
  </si>
  <si>
    <t>EICO INGENIERÍA Y ECONOMÍA, S.L</t>
  </si>
  <si>
    <t>https://contrataciondelestado.es/wps/poc?uri=deeplink:detalle_licitacion&amp;idEvl=RKVqRnM0HCeKeVWTb9Scog%3D%3D</t>
  </si>
  <si>
    <t>2025/PAS/008</t>
  </si>
  <si>
    <t>OBRAS DE REHABILITACIÓN DE LAS CUBIERTAS DE LAS PISCINAS CLIMATIZADAS DEL POLIDEPORTIVO EL TORREON</t>
  </si>
  <si>
    <t>AGENCIA COMERCIAL HERENCIANA S L</t>
  </si>
  <si>
    <t>https://contrataciondelestado.es/wps/poc?uri=deeplink:detalle_licitacion&amp;idEvl=WE7Isy5vr8D9pbnDwlaUlg%3D%3D</t>
  </si>
  <si>
    <t>2025/PAS/009</t>
  </si>
  <si>
    <t>OBRAS DE REHABILITACION DE LAS FACHADAS DEL EDIFICIO REYES CATOLICOS</t>
  </si>
  <si>
    <t>PROIESCON, S.L.</t>
  </si>
  <si>
    <t>https://contrataciondelestado.es/wps/poc?uri=deeplink:detalle_licitacion&amp;idEvl=sbFBARXjTXF%2FR5QFTlaM4A%3D%3D</t>
  </si>
  <si>
    <t>2025/PAS/018</t>
  </si>
  <si>
    <t>OBRAS DE REPARACIÓN DE DESPLOME EXISTENTE EN EL MURO MEDIANERO EN EL CEIP SAN JOSÉ OBRERO</t>
  </si>
  <si>
    <t>GEOCAMIMOS, S.L.</t>
  </si>
  <si>
    <t>https://contrataciondelestado.es/wps/poc?uri=deeplink:detalle_licitacion&amp;idEvl=%2BycH4t6aN%2Bg7%2B9FIQYNjeQ%3D%3D</t>
  </si>
  <si>
    <t>2024/CB/022</t>
  </si>
  <si>
    <t>OBRAS DE ASFALTADO DE VIALES, DERIVADO 4 FASE I</t>
  </si>
  <si>
    <t>BASADO</t>
  </si>
  <si>
    <t>PROBISA VÍAS Y OBRAS, S.L.U</t>
  </si>
  <si>
    <t>21/02/2025</t>
  </si>
  <si>
    <t>https://contrataciondelestado.es/wps/poc?uri=deeplink:detalle_licitacion&amp;idEvl=wbJusmcjRHES7pcxhTeWOg%3D%3D</t>
  </si>
  <si>
    <t>2025/CB/027</t>
  </si>
  <si>
    <t>OBRAS DE ASFALTADO DE VIALES, DERIVADO 4, FASE II</t>
  </si>
  <si>
    <t>PROBISA VÍAS Y OBRAS, S.L.U.</t>
  </si>
  <si>
    <t>https://contrataciondelestado.es/wps/poc?uri=deeplink:detalle_licitacion&amp;idEvl=1twr11aVF0jjHF5qKI4aaw%3D%3D</t>
  </si>
  <si>
    <t>2025/PAS/023 
Lote 1</t>
  </si>
  <si>
    <t>SEGURO DE ACCIDENTES PARA LOS USUARIOS DE INSTALACIONES DEPORTIVAS Y OTRAS ACTIVIDADES MUNICIPALES. LOTE 1: Seguro de accidentes para los usuarios de las instalaciones deportivas</t>
  </si>
  <si>
    <t>PRIVADO</t>
  </si>
  <si>
    <t>MARKEL INSURANCE, S.E.</t>
  </si>
  <si>
    <t>https://contrataciondelestado.es/wps/poc?uri=deeplink:detalle_licitacion&amp;idEvl=InCt19XX0Jc4NavIWzMcHA%3D%3D</t>
  </si>
  <si>
    <t>2025/PAS/023 
Lote 2</t>
  </si>
  <si>
    <t>SEGURO DE ACCIDENTES PARA LOS USUARIOS DE INSTALACIONES DEPORTIVAS Y OTRAS ACTIVIDADES MUNICIPALES. LOTE 2: Seguro de accidentes para los usuarios de otras actividades municipales</t>
  </si>
  <si>
    <t>MAPFRE VIDA S.A. DE SEGUROS Y REASEGUROS SOBRE LA VIDA HUMANA</t>
  </si>
  <si>
    <t xml:space="preserve">https://contrataciondelestado.es/wps/poc?uri=deeplink:detalle_licitacion&amp;idEvl=InCt19XX0Jc4NavIWzMcHA%3D%3D </t>
  </si>
  <si>
    <t>2025/CB/049</t>
  </si>
  <si>
    <t>SEGURO DE RESPONSABILIDAD CIVIL Y PATRIMONIAL</t>
  </si>
  <si>
    <t>ZURICH INSURANCE EUROPE AG, SUCURSAL EN ESPAÑA</t>
  </si>
  <si>
    <t>https://contrataciondelestado.es/wps/poc?uri=deeplink:detalle_licitacion&amp;idEvl=Zk8XbNBzhQA2wEhQbcAqug%3D%3D</t>
  </si>
  <si>
    <t>2025/CB/051</t>
  </si>
  <si>
    <t>SEGURO COLECTIVO DE ACCIDENTES PARA EL PERSONAL MUNICIPAL</t>
  </si>
  <si>
    <t>SURNE MUTUA DE SEGUROS Y REASEGUROS A PRIMA FIJA</t>
  </si>
  <si>
    <t>https://contrataciondelestado.es/wps/poc?uri=deeplink:detalle_licitacion&amp;idEvl=BP7xei8OqkJLAIVZdUs8KA%3D%3D</t>
  </si>
  <si>
    <t>2025/CB/053</t>
  </si>
  <si>
    <t>SEGURO DE FLOTA DE VEHÍCULOS DEL PARQUE MÓVIL MUNICIPAL</t>
  </si>
  <si>
    <t>https://contrataciondelestado.es/wps/poc?uri=deeplink:detalle_licitacion&amp;idEvl=pYScASzoXfVPpzdqOdhuWg%3D%3D</t>
  </si>
  <si>
    <t>2025/CB/054</t>
  </si>
  <si>
    <t>SEGURO DE DAÑOS MATERIALES PARA LOS EDIFICIOS MUNICIPALES</t>
  </si>
  <si>
    <t>CAJA DE SEGUROS REUNIDOS, COMPAÑÍA DE SEGUROS Y REASEGUROS, S.A. (CASER)</t>
  </si>
  <si>
    <t>03/12/205</t>
  </si>
  <si>
    <t>https://contrataciondelestado.es/wps/poc?uri=deeplink:detalle_licitacion&amp;idEvl=EoaMPbete8hWhbmkna2nXQ%3D%3D</t>
  </si>
  <si>
    <t>2024/NSIN/011</t>
  </si>
  <si>
    <t>ESPECTÁCULO "DESFILE DE CARTAGINESES Y ROMANOS" PARA LA CABALGATA DE REYES 2025</t>
  </si>
  <si>
    <t>NEGOCIADO SIN PUBLICIDAD</t>
  </si>
  <si>
    <t>11/12/2024</t>
  </si>
  <si>
    <t>CHAFLAN GESTION Y EVENTOS, S.L.</t>
  </si>
  <si>
    <t>37.510,00 €</t>
  </si>
  <si>
    <t>02/01/2025</t>
  </si>
  <si>
    <t>https://contrataciondelestado.es/wps/poc?uri=deeplink:detalle_licitacion&amp;idEvl=tmo8y1MhffB9Zh%2FyRJgM8w%3D%3D</t>
  </si>
  <si>
    <t>2025/NSIN/001</t>
  </si>
  <si>
    <t>ESPECTÁCULO DE ÓPERA “IL TROVATORE” EN EL MIRA TEATRO</t>
  </si>
  <si>
    <t>12/02/2025</t>
  </si>
  <si>
    <t>OPERA 2001, S.L.</t>
  </si>
  <si>
    <t>24.200,00 €</t>
  </si>
  <si>
    <t>27/02/2025</t>
  </si>
  <si>
    <t>https://contrataciondelestado.es/wps/poc?uri=deeplink:detalle_licitacion&amp;idEvl=0N1WxhexamseC9GJQOEBkQ%3D%3D</t>
  </si>
  <si>
    <t>2025/NSIN/003</t>
  </si>
  <si>
    <t>ACTUACION MUSICAL DE PASTORA SOLER</t>
  </si>
  <si>
    <t>PIES COMPAÑÍA DISCOGRÁFICA S.L.</t>
  </si>
  <si>
    <t>2025/NSIN/004</t>
  </si>
  <si>
    <t>CONCIERTO TRIBUTO A HEROES DEL SILENCIO, PEREZA, LEIVA Y EL CANTO DEL LOCO Y SESION DJ, CON MOTIVO DE LAS FIESTAS DE NUESTRA SEÑORA DEL CARMEN 2025</t>
  </si>
  <si>
    <t>DIVERMEDIA OCIO, S.L.,</t>
  </si>
  <si>
    <t>https://contrataciondelestado.es/wps/poc?uri=deeplink:detalle_licitacion&amp;idEvl=eWIokB8DvshVYjgxA4nMUw%3D%3D</t>
  </si>
  <si>
    <t>2025/NSIN/005</t>
  </si>
  <si>
    <t>ACTUACIÓN MUSICAL DE FUNAMBULISTA CON MOTIVO DE LAS FIESTAS DE NUESTRA SEÑORA DEL CARMEN</t>
  </si>
  <si>
    <t>https://contrataciondelestado.es/wps/poc?uri=deeplink:detalle_licitacion&amp;idEvl=d7kaRfqUZv75Rey58Yagpg%3D%3D</t>
  </si>
  <si>
    <t>2025/NSIN/006</t>
  </si>
  <si>
    <t>CONCIERTO DE JOSÉ MERCÉ PROGRAMADO CON MOTIVO DE LAS FIESTAS DE NTRA. SRA. DE LA CONSOLACIÓN 2025</t>
  </si>
  <si>
    <t>PROMOCIONES MUSICALES GET IN, S.L.U.</t>
  </si>
  <si>
    <t>https://contrataciondelestado.es/wps/poc?uri=deeplink:detalle_licitacion&amp;idEvl=1ldQER2hZB1q1DdmE7eaXg%3D%3D</t>
  </si>
  <si>
    <t>2025/NSIN/007</t>
  </si>
  <si>
    <t>CONCIERTO TRIBUTO A MELENDI Y SESION DJ, TRIBUTO A HOMBRES G Y SESIÓN DJ Y QUEDADA INTERGENERACIONAL CON MOTIVO DE LAS FIESTAS PATRONALES DE NTRA. SRA. DE LA CONSOLACIÓN 2025</t>
  </si>
  <si>
    <t>DIVERMEDIA OCIO, S.L.</t>
  </si>
  <si>
    <t>2025/NSIN/008</t>
  </si>
  <si>
    <t>CONCIERTOS “¡GO POZUELO!”; “NOCHENTERA POZUELO” Y “2º EDICIÓN TARDEOH! DE POZUELO”,  CON MOTIVO DE LAS FIESTAS DE NTRA. SRA. DE LA CONSOLACIÓN 2025</t>
  </si>
  <si>
    <t>CAYCO GRUPO EMPRESARIAL, S.L.,</t>
  </si>
  <si>
    <t>https://contrataciondelestado.es/wps/poc?uri=deeplink:detalle_licitacion&amp;idEvl=iBiECPjxuGOAAM7L03kM8A%3D%3D</t>
  </si>
  <si>
    <t>2025/NSIN/009</t>
  </si>
  <si>
    <t>CONCIERTO DE JUAN MAGÁN CON MOTIVO DE LAS FIESTAS DE NTRA. SRA. DE LA CONSOLACIÓN 2025</t>
  </si>
  <si>
    <t>PLAZACABLE, S.L., SOCIEDAD UNIPERSONAL</t>
  </si>
  <si>
    <t>https://contrataciondelestado.es/wps/poc?uri=deeplink:detalle_licitacion&amp;idEvl=8n%2BTFbHpt78ZDGvgaZEVxQ%3D%3D</t>
  </si>
  <si>
    <t>2025/NSIN/010</t>
  </si>
  <si>
    <t>CONTRATACIÓN DE LA ACTUACIÓN DE SHINOVA Y SILOÉ CON MOTIVO DE LAS  FIESTAS DE NTRA. SRA. DE LA CONSOLACIÓN 2025</t>
  </si>
  <si>
    <t>https://contrataciondelestado.es/wps/poc?uri=deeplink:detalle_licitacion&amp;idEvl=IXShjN47gVlxseVhcqrkhw%3D%3D</t>
  </si>
  <si>
    <t>2025/NSIN/011</t>
  </si>
  <si>
    <t>CONCIERTO DE NANCYS RUBIAS Y FANGORIA CON MOTIVO DE LAS FIESTAS DE NTRA. SRA. DE LA CONSOLACIÓN 2025</t>
  </si>
  <si>
    <t>https://contrataciondelestado.es/wps/poc?uri=deeplink:detalle_licitacion&amp;idEvl=Fxl%2FcpeNPyx9Zh%2FyRJgM8w%3D%3D</t>
  </si>
  <si>
    <t>2025/NSIN/018</t>
  </si>
  <si>
    <t>ESPECTÁCULO “DESFILE DE CARTAGINESES Y ROMANOS” PARA LA CABALGATA DE REYES 2026"</t>
  </si>
  <si>
    <t>https://contrataciondelestado.es/wps/poc?uri=deeplink:detalle_licitacion&amp;idEvl=R7HNImvQdtt9PLkba5eRog%3D%3D</t>
  </si>
  <si>
    <t>2025/CB/050</t>
  </si>
  <si>
    <t>SEGURO COLECTIVO DE VIDA PARA EL PERSONAL MUNICIPAL</t>
  </si>
  <si>
    <t>ORIZON UNDERWRITERS S.L.</t>
  </si>
  <si>
    <t>https://contrataciondelestado.es/wps/poc?uri=deeplink:detalle_licitacion&amp;idEvl=CzirvW5aAvsadbH3CysQuQ%3D%3D</t>
  </si>
  <si>
    <t>2025/CB/052</t>
  </si>
  <si>
    <t>SEGURO DE RESPONSABILIDAD CIVIL DE ALTOS CARGOS Y PERSONAL AL SERVICIO DEL AYUNTAMIENTO</t>
  </si>
  <si>
    <t>LIBERTY MUTUAL INSURANCE EUROPE SUC. EN ESPAÑA</t>
  </si>
  <si>
    <t>https://contrataciondelestado.es/wps/poc?uri=deeplink:detalle_licitacion&amp;idEvl=eV9CsmL7S2s%2Bk2oCbDosIw%3D%3D</t>
  </si>
  <si>
    <t>2025/NSIN/012</t>
  </si>
  <si>
    <t>CONTRATACIÓN DEL ESPECTÁCULO DE ÓPERA "LA TRAVIATA", DE GIUSEPPE VERDI, EN EL TEATRO MIRA</t>
  </si>
  <si>
    <t>ÓPERA 2001, S.L</t>
  </si>
  <si>
    <t>https://contrataciondelestado.es/wps/poc?uri=deeplink:detalle_licitacion&amp;idEvl=Rzt7Wxmf1zPs%2BnLj3vAg5A%3D%3D</t>
  </si>
  <si>
    <t>2025/NSIN/013</t>
  </si>
  <si>
    <t>CONTRATACIÓN DEL ESPECTÁCULO DE MÚSICA Y DANZA "MALINCHE SINFÓNICA"</t>
  </si>
  <si>
    <t>TEMPO RUBATO, S.L.</t>
  </si>
  <si>
    <t>https://contrataciondelestado.es/wps/poc?uri=deeplink:detalle_licitacion&amp;idEvl=Ifg8wtuvDaItm4eBPtV6eQ%3D%3D</t>
  </si>
  <si>
    <t>2024/PA/005</t>
  </si>
  <si>
    <t>SERVICIO TELEFÓNICO DE ATENCIÓN AL CIUDADANO 010</t>
  </si>
  <si>
    <t>SERVICIOS</t>
  </si>
  <si>
    <t>22/05/2024</t>
  </si>
  <si>
    <t>FACTUDATA XXI, S.L.</t>
  </si>
  <si>
    <t>159.712,00 €</t>
  </si>
  <si>
    <t>03/01/2025</t>
  </si>
  <si>
    <t>https://contrataciondelestado.es/wps/poc?uri=deeplink:detalle_licitacion&amp;idEvl=fgwCA18iDkYl5NjlNci%2BtA%3D%3D</t>
  </si>
  <si>
    <t>2024/PA/016</t>
  </si>
  <si>
    <t>SERVICIOS EDUCATIVOS PARA EL DESARROLLO DE LAS ACTIVIDADES DEL AULA DE EDUCACIÓN AMBIENTAL</t>
  </si>
  <si>
    <t>NATUR DEL SIGLO XXI, S.L</t>
  </si>
  <si>
    <t>351.690,00 €</t>
  </si>
  <si>
    <t>10/06/2025</t>
  </si>
  <si>
    <t>https://contrataciondelestado.es/wps/poc?uri=deeplink:detalle_licitacion&amp;idEvl=CjGX1QhaH7gzjChw4z%2FXvw%3D%3D</t>
  </si>
  <si>
    <t>2024/PA/020</t>
  </si>
  <si>
    <t>SERVICIO DE CONTROL DE ACCESOS E INFORMACION EN EDIFICIOS E INSTALACIONES MUNICIPALES</t>
  </si>
  <si>
    <t>24/07/2024</t>
  </si>
  <si>
    <t>AUXTEGRA INTEGRACIÓN SOCIAL, S.L</t>
  </si>
  <si>
    <t>2.622.312,00€,</t>
  </si>
  <si>
    <t>28/01/2025</t>
  </si>
  <si>
    <t>https://contrataciondelestado.es/wps/poc?uri=deeplink:detalle_licitacion&amp;idEvl=JMWTwJUoJ4aqb7rCcv76BA%3D%3D</t>
  </si>
  <si>
    <t>2024/PA/030</t>
  </si>
  <si>
    <t>SERVICIO DE GESTIÓN CENTRO DE ATENCIÓN A LA FAMILIA DEL AYUNTAMIENTO DE POZUELO DE ALARCON</t>
  </si>
  <si>
    <t>11/09/2024</t>
  </si>
  <si>
    <t>ABD, ASOCIACION BIENESTAR Y DESARROLLO</t>
  </si>
  <si>
    <t>238.711,00 €(exento)</t>
  </si>
  <si>
    <t>20/02/2025</t>
  </si>
  <si>
    <t>https://contrataciondelestado.es/wps/poc?uri=deeplink:detalle_licitacion&amp;idEvl=xbFkmIBHr9kZDGvgaZEVxQ%3D%3D</t>
  </si>
  <si>
    <t>2024/PA/031</t>
  </si>
  <si>
    <t>SERVICIO DE MANTENIMIENTO INTEGRAL DE LAS INSTALACIONES TÉRMICAS, CONTROL DE LA LEGIONELLA Y PREVENCIÓN DE LA LEGIONELOSIS EN LOS EDIFICIOS MUNICIPALES. Lote 1 Servicio de mantenimiento integral de las instalaciones térmicas de edificios municipales.</t>
  </si>
  <si>
    <t>16/10/2024</t>
  </si>
  <si>
    <t>IMESAPI, S.A.</t>
  </si>
  <si>
    <t>445.552,15 €</t>
  </si>
  <si>
    <t>17/02/2025</t>
  </si>
  <si>
    <t>https://contrataciondelestado.es/wps/poc?uri=deeplink:detalle_licitacion&amp;idEvl=K%2Fk%2BfcCdrBG9Hd5zqvq9cg%3D%3D</t>
  </si>
  <si>
    <t>2024/PA/033</t>
  </si>
  <si>
    <t>SERVICIO DE VIGILANCIA Y SEGURIDAD PRIVADA EN DEPENDENCIAS E INSTALACIONES MUNICIPALES</t>
  </si>
  <si>
    <t>ALCOR SEGURIDAD, S.L.</t>
  </si>
  <si>
    <t>https://contrataciondelestado.es/wps/poc?uri=deeplink:detalle_licitacion&amp;idEvl=pCKorO91TzQaF6cS8TCh%2FA%3D%3D</t>
  </si>
  <si>
    <t>2024/PA/035</t>
  </si>
  <si>
    <t>SERVICIO DE ORGANIZACIÓN Y DESARROLLO DE PROGRAMAS DE ACTIVIDADES ACUÁTICAS Y OTROS PROGRAMAS DE ACTIVIDADES DEPORTIVAS</t>
  </si>
  <si>
    <t>SIMA DEPORTE Y OCIO, S.L.</t>
  </si>
  <si>
    <t>129.284,87 €</t>
  </si>
  <si>
    <t>https://contrataciondelestado.es/wps/poc?uri=deeplink:detalle_licitacion&amp;idEvl=yMRG9KGuhSRLAIVZdUs8KA%3D%3D</t>
  </si>
  <si>
    <t>2024/PA/037</t>
  </si>
  <si>
    <t>SERVICIO DE GESTION Y CONTROL DE LA FAUNA SILVESTRE</t>
  </si>
  <si>
    <t>ADDA OPS S.A.</t>
  </si>
  <si>
    <t>https://contrataciondelestado.es/wps/poc?uri=deeplink:detalle_licitacion&amp;idEvl=Fy0pNzw4F0SsNfRW6APEDw%3D%3D</t>
  </si>
  <si>
    <t>2024/PA/038
Lote 1</t>
  </si>
  <si>
    <t>SERVICIO DE ORGANIZACIÓN DE LOS EVENTOS DEL PROGRAMA DE FAMILIA E INFANCIA-Lote 1 Día de la Familia</t>
  </si>
  <si>
    <t>CAJUCA ANIMACIONES SL</t>
  </si>
  <si>
    <t>09/05/2025</t>
  </si>
  <si>
    <t>https://contrataciondelestado.es/wps/poc?uri=deeplink:detalle_licitacion&amp;idEvl=bVsTj1ufNZSqb7rCcv76BA%3D%3D</t>
  </si>
  <si>
    <t>2024/PA/038
Lote 2</t>
  </si>
  <si>
    <t>SERVICIO DE ORGANIZACIÓN DE LOS EVENTOS DEL PROGRAMA DE FAMILIA E INFANCIA-Lote 2 Día del Niño</t>
  </si>
  <si>
    <t>IKEBANA ANIMACION Y OCIO</t>
  </si>
  <si>
    <t>2024/PA/038
Lote 3</t>
  </si>
  <si>
    <t>SERVICIO DE ORGANIZACIÓN DE LOS EVENTOS DEL PROGRAMA DE FAMILIA E INFANCIA-Lote 3 Día de la Infancia</t>
  </si>
  <si>
    <t>PEBETERO SERVICIOS Y FORMACION</t>
  </si>
  <si>
    <t>2024/PA/039</t>
  </si>
  <si>
    <t>SERVICIO DE AUXILIARES DE APOYO PARA LAS INSTALACIONES DEPORTIVAS MUNICIPALES</t>
  </si>
  <si>
    <t>SERVEO CENTRO ESPECIAL DE EMPLEO, S.L.</t>
  </si>
  <si>
    <t>https://contrataciondelestado.es/wps/poc?uri=deeplink:detalle_licitacion&amp;idEvl=8FuSUq%2BREI8mMOlAXxDEjw%3D%3D</t>
  </si>
  <si>
    <t>2024/PA/040</t>
  </si>
  <si>
    <t>SERVICIOS DE APOYO EN LA GESTIÓN Y DESARROLLO DEL VIVERO DE EMPRESAS MUNICIPAL DE POZUELO DE ALARCÓN Y SERVICIO DE ATENCIÓN AL PUNTO PAE</t>
  </si>
  <si>
    <t>RH GESTION Y FORMACION, S.A.,</t>
  </si>
  <si>
    <t>https://contrataciondelestado.es/wps/poc?uri=deeplink:detalle_licitacion&amp;idEvl=WKw35pAbeYzXOjazN1Dw9Q%3D%3D</t>
  </si>
  <si>
    <t>2024/PA/041</t>
  </si>
  <si>
    <t>SERVICIO DE EMISION Y VENTA DE ENTRADAS PARA ACTIVIDADES CULTURALES</t>
  </si>
  <si>
    <t>GIGLON, S.L.</t>
  </si>
  <si>
    <t>https://contrataciondelestado.es/wps/poc?uri=deeplink:detalle_licitacion&amp;idEvl=ZexfHHxqrc%2F10HRJw8TEnQ%3D%3D</t>
  </si>
  <si>
    <t>2024/PA/043</t>
  </si>
  <si>
    <t>SERVICIO DE APERTURA DE CENTROS ESCOLARES DENTRO DEL PROGRAMA DE “VACACIONES EN INGLÉS”.</t>
  </si>
  <si>
    <t>19/03/2025</t>
  </si>
  <si>
    <t>KIDSCO SERVICIOS INFANTILES, S. L.</t>
  </si>
  <si>
    <t>29/05/2025</t>
  </si>
  <si>
    <t>https://contrataciondelestado.es/wps/poc?uri=deeplink:detalle_licitacion&amp;idEvl=mYERcyZG6IA2wEhQbcAqug%3D%3D</t>
  </si>
  <si>
    <t>2025/PA/002</t>
  </si>
  <si>
    <t>SERVICIO DE PERSONAL DE TAQUILLA, PORTEROS, ACOMODADOR Y CARGA/DESCARGA DEL “MIRA TEATRO” Y OTROS ESPACIOS DEL MUNICIPIO CON PROGRAMACIÓN DE CULTURA</t>
  </si>
  <si>
    <t>SPEZIAL OUTSOURCING SERVICIOS, S.L.,</t>
  </si>
  <si>
    <t>94.040,60 €</t>
  </si>
  <si>
    <t>05/06/2025</t>
  </si>
  <si>
    <t>https://contrataciondelestado.es/wps/poc?uri=deeplink:detalle_licitacion&amp;idEvl=QMIRusSqybZxseVhcqrkhw%3D%3D</t>
  </si>
  <si>
    <t>2025/PA/003</t>
  </si>
  <si>
    <t>SERVICIO DE ASISTENCIA TÉCNICA PARA LA GESTIÓN DE LA OFICINA DE REHABILITACIÓN DEL PROGRAMA DE AYUDA A LAS ACTUACIONES DE REHABILITACIÓN A NIVEL DE BARRIO DEL ENTORNO RESIDENCIAL DE REHABILITACIÓN PROGRAMADA “DISTRITO I Y HÚMERA (DISTRITO II). FASE I”.</t>
  </si>
  <si>
    <t>U.T.E. “INNOVACION Y DESARROLLO LOCAL, S.L. – GESTIÓN INTEGRAL DEL SUELO, S.L. UNION TEMPORAL DE EMPRESAS LEY 18/1982”, EN ABREVIATURA “UTE: IDEL-GIS”</t>
  </si>
  <si>
    <t>https://contrataciondelestado.es/wps/poc?uri=deeplink:detalle_licitacion&amp;idEvl=awp1TSb5WvasNfRW6APEDw%3D%3D</t>
  </si>
  <si>
    <t>2025/PA/006
Lote 2</t>
  </si>
  <si>
    <t>SERVICIO DE EJECUCION DE PROGRAMAS DE ESCUELAS DEPORTIVAS MUNICIPALES. Lote 2 Baloncesto</t>
  </si>
  <si>
    <t>SPORT AND BALANCE SERVICIOS INTEGRALES, S.L.</t>
  </si>
  <si>
    <t>https://contrataciondelestado.es/wps/poc?uri=deeplink:detalle_licitacion&amp;idEvl=kiFEiEBmh8pWhbmkna2nXQ%3D%3D</t>
  </si>
  <si>
    <t>2025/PA/006
Lote 6</t>
  </si>
  <si>
    <t>SERVICIO DE EJECUCION DE PROGRAMAS DE ESCUELAS DEPORTIVAS MUNICIPALES. Lote 6 Esgrima.</t>
  </si>
  <si>
    <t>CLUB DEPORTIVO ELEMENTAL ESGRIMA POZUELO</t>
  </si>
  <si>
    <t>2025/PA/006
Lote 7</t>
  </si>
  <si>
    <t>SERVICIO DE EJECUCION DE PROGRAMAS DE ESCUELAS DEPORTIVAS MUNICIPALES. Lote 7 Atletismo.</t>
  </si>
  <si>
    <t>CLUB DEPORTIVO BASICO ATLETISMO POZUELO</t>
  </si>
  <si>
    <t>2025/PA/006
Lotes 1, 3, 4, 5 Y 8</t>
  </si>
  <si>
    <t>SERVICIO DE EJECUCION DE PROGRAMAS DE ESCUELAS DEPORTIVAS MUNICIPALES. Lote 1 Futbol. Lote 3. Hockey. Lote 4 Voleibol. Lote 5 Gimnasia artística. Lote 8 Raqueta</t>
  </si>
  <si>
    <t>GESISPORT GESTIÓN DE SERVICIOS INTEGRALES, S.L.</t>
  </si>
  <si>
    <t>L1: 8.011,56 €
L3: 6.008,67 €
L4: 6.008,67 €
L5: 32.046,22 €
L8: 96.138,66 €</t>
  </si>
  <si>
    <t>2025/PA/006-LOTE 10</t>
  </si>
  <si>
    <t>SERVICIO DE EJECUCION DE PROGRAMAS DE ESCUELAS DEPORTIVAS MUNICIPALES. Lote 10 Karate.</t>
  </si>
  <si>
    <t>CLUB D. E. VERITAS POZUELO</t>
  </si>
  <si>
    <t>16/10/205</t>
  </si>
  <si>
    <t>2025/PA/006-LOTE 11</t>
  </si>
  <si>
    <t>SERVICIO DE EJECUCION DE PROGRAMAS DE ESCUELAS DEPORTIVAS MUNICIPALES. Lote 11 Patinaje</t>
  </si>
  <si>
    <t>CLUB DEPORTIVO ELEMENTAL INLINE CATS POZUELO</t>
  </si>
  <si>
    <t>2025/PA/006-LOTE 9</t>
  </si>
  <si>
    <t>SERVICIO DE EJECUCION DE PROGRAMAS DE ESCUELAS DEPORTIVAS MUNICIPALES. Lote 9 Judo.</t>
  </si>
  <si>
    <t>JUDO CLUB POZUELO</t>
  </si>
  <si>
    <t>2025/PA/007 
Lote 1</t>
  </si>
  <si>
    <t>SERVICIO DE ORGANIZACIÓN DE LAS ACTIVIDADES LÚDICAS, FAMILIARES Y PRODUCCIÓN DE CONCIERTOS DURANTE LA CELEBRACIÓN DE LAS FIESTAS PATRONALES DE NUESTRA SEÑORA DEL CARMEN</t>
  </si>
  <si>
    <t>MUSKAN EVENTOS, S.L.L.</t>
  </si>
  <si>
    <t>https://contrataciondelestado.es/wps/poc?uri=deeplink:detalle_licitacion&amp;idEvl=omvqQJ11Bnuzz8fXU2i3eQ%3D%3D</t>
  </si>
  <si>
    <t>2025/PA/007 
Lote 2</t>
  </si>
  <si>
    <t>D. MIGUEL ANGEL SÁNCHEZ SÁNCHEZ</t>
  </si>
  <si>
    <t>2025/PA/007 
Lote 3</t>
  </si>
  <si>
    <t>PRODUCCIONES MULTIPLE, S.L.</t>
  </si>
  <si>
    <t>2025/PA/009</t>
  </si>
  <si>
    <t>SERVICIO DE GESTIÓN Y MANTENIMIENTO DEL APARCAMIENTO MUNICIPAL "ANTIGUO MATADERO"</t>
  </si>
  <si>
    <t>ESTACIONAMIENTOS IBERPARK, S.A.U.</t>
  </si>
  <si>
    <t>https://contrataciondelestado.es/wps/poc?uri=deeplink:detalle_licitacion&amp;idEvl=%2FNywyz0CLoUUqXM96WStVA%3D%3D</t>
  </si>
  <si>
    <t>2025/PA/010</t>
  </si>
  <si>
    <t>SERVICIO DE ELIMINACIÓN DE PINTADAS EN ESPACIOS PÚBLICOS</t>
  </si>
  <si>
    <t>PROLISER, S.L.,</t>
  </si>
  <si>
    <t>https://contrataciondelestado.es/wps/poc?uri=deeplink:detalle_licitacion&amp;idEvl=uqnn%2BmT5sPPi0Kd8%2Brcp6w%3D%3D</t>
  </si>
  <si>
    <t>2025/PA/011 
Lotes 1, 2, 3 y 4</t>
  </si>
  <si>
    <t>SERVICIO DE ORGANIZACIÓN Y DESARROLLO DE ESPECTÁCULOS PIROTÉCNICOS EN LAS FIESTAS PATRONALES DE SAN GREGORIO, NUESTRA SEÑORA DEL CARMEN, NUESTRA SEÑORA DE LA CONSOLACIÓN Y FIESTAS DE NAVIDAD</t>
  </si>
  <si>
    <t>PIROTECNIA ZARAGOZANA, S.A.</t>
  </si>
  <si>
    <t>L1: 6.570,30 €
L2: 17.908,00 €
L3: 24.563,00 €
L4: 19.239,00 €</t>
  </si>
  <si>
    <t>https://contrataciondelestado.es/wps/poc?uri=deeplink:detalle_licitacion&amp;idEvl=I2mu5NtILfHN3k3tjedSGw%3D%3D</t>
  </si>
  <si>
    <t>2025/PA/013 
Lote 1</t>
  </si>
  <si>
    <t>SERVICIO DE ORGANIZACIÓN DE LAS ACTIVIDADES LÚDICAS, FAMILIARES Y PRODUCCIÓN DE CONCIERTOS DURANTE LA CELEBRACIÓN DE LAS FIESTAS PATRONALES DE NUESTRA SEÑORA DE LA CONSOLACIÓN</t>
  </si>
  <si>
    <t>MUSKAN EVENTOS, S.L</t>
  </si>
  <si>
    <t>https://contrataciondelestado.es/wps/poc?uri=deeplink:detalle_licitacion&amp;idEvl=mI%2ByFW0hG5A36J9Lctlsuw%3D%3D</t>
  </si>
  <si>
    <t>2025/PA/013 
Lote 2</t>
  </si>
  <si>
    <t>MELODANA, S.L</t>
  </si>
  <si>
    <t>2025/PA/013 
Lote 3</t>
  </si>
  <si>
    <t>PRODUCCIONES MULTIPLE, S.L</t>
  </si>
  <si>
    <t>2025/PA/014
Lote 3</t>
  </si>
  <si>
    <t>SERVICIO DE REPARACIONES, MANTENIMIENTO Y CONSERVACIÓN DEL PARQUE MÓVIL Y MAQUINARIA MUNICIPALES</t>
  </si>
  <si>
    <t>J.A. GARCÍA CUADROS, S.L.U.</t>
  </si>
  <si>
    <t>https://contrataciondelestado.es/wps/poc?uri=deeplink:detalle_licitacion&amp;idEvl=x4QNYulJWiVt5r0ngvMetA%3D%3D</t>
  </si>
  <si>
    <t>2025/PA/014
Lotes 1 Y 2</t>
  </si>
  <si>
    <t>JOTRINSA, S.L</t>
  </si>
  <si>
    <t>L1: 41.221,75 €
L2: 52.388,26 €</t>
  </si>
  <si>
    <t>2025/PA/015</t>
  </si>
  <si>
    <t>ACUERDO MARCO PARA LA REDACCIÓN DE ESTUDIOS DE VIABILIDAD DE CONCESIONES DE OBRA PÚBLICA Y DE SERVICIOS Y OTROS ESTUDIOS DE CARÁCTER ECONÓMICO</t>
  </si>
  <si>
    <t>NUEVOS TIEMPOS CONSULTORES, S.L</t>
  </si>
  <si>
    <t>Varios</t>
  </si>
  <si>
    <t>https://contrataciondelestado.es/wps/poc?uri=deeplink:detalle_licitacion&amp;idEvl=r5t6JkgbIcHIGlsa0Wad%2Bw%3D%3D</t>
  </si>
  <si>
    <t>2025/PA/017</t>
  </si>
  <si>
    <t>SERVICIO PARA IMPARTIR CURSOS DE FLAMENCO, DANZA CONTEMPORÁNEA, PREDANZA Y/O INICIACIÓN TEMPRANA A LA DANZA, DANZA PARA TODOS DIRIGIDO A PERSONAS CON CAPACIDADES DIFERENTES EN LA ESCUELA MUNICIPAL DE MÚSICA Y DANZA</t>
  </si>
  <si>
    <t>ENDOMÚSICA S.L.</t>
  </si>
  <si>
    <t>https://contrataciondelestado.es/wps/poc?uri=deeplink:detalle_licitacion&amp;idEvl=NBaY71MaqAyTylGzYmBF9Q%3D%3D</t>
  </si>
  <si>
    <t>2025/PA/018</t>
  </si>
  <si>
    <t>SERVICIO DE ORGANIZACIÓN Y DESARROLLO DEL PROGRAMA GENERAL DE ACTIVIDADES PARA JÓVENES DE LA CONCEJALÍA DE JUVENTUD</t>
  </si>
  <si>
    <t>SARARTE, S.L.</t>
  </si>
  <si>
    <t>https://contrataciondelestado.es/wps/poc?uri=deeplink:detalle_licitacion&amp;idEvl=0jPJqF3hCS07%2B9FIQYNjeQ%3D%3D</t>
  </si>
  <si>
    <t>2025/PA/022
Lote 1</t>
  </si>
  <si>
    <t xml:space="preserve">SERVICIO DE IMPRESIÓN, MONTAJE, MANTENIMIENTO Y DESMONTAJE DE LONAS Y BANDEROLAS Y MAQUETACIÓN, PRODUCCIÓN Y, EN SU CASO, COLOCACIÓN DE MATERIAL GRÁFICO EN ESPACIOS CON PROGRAMACIÓN DE CULTURA </t>
  </si>
  <si>
    <t>FERNÁNDEZ MIRANDA, S.A.</t>
  </si>
  <si>
    <t>https://contrataciondelestado.es/wps/poc?uri=deeplink:detalle_licitacion&amp;idEvl=PQ3bqda4fOi8ebB%2FXTwy0A%3D%3D</t>
  </si>
  <si>
    <t>2025/PA/022
Lote 2</t>
  </si>
  <si>
    <t xml:space="preserve">SERVICIO DE IMPRESIÓN, MONTAJE, MANTENIMIENTO Y DESMONTAJE DE LONAS Y BANDEROLAS Y MAQUETACIÓN, PRODUCCIÓN Y, EN SU CASO, COLOCACIÓN DE MATERIAL GRÁFICO EN ESPACIOS CON PROGRAMACIÓN DE CULTURA-Lote 2 </t>
  </si>
  <si>
    <t>REALIZACIONES PUBLICITARIAS GAMA, S.L.</t>
  </si>
  <si>
    <t>2025/PA/023</t>
  </si>
  <si>
    <t>SERVICIO DE ORGANIZACIÓN, DESARROLLO Y REFUERZO DE ACTIVIDADES DE DINAMIZACIÓN Y ANIMACIÓN CULTURAL</t>
  </si>
  <si>
    <t>CAJUCA ANIMACIONES, S.L.</t>
  </si>
  <si>
    <t>https://contrataciondelestado.es/wps/poc?uri=deeplink:detalle_licitacion&amp;idEvl=bXp3i5Czi1Il5NjlNci%2BtA%3D%3D</t>
  </si>
  <si>
    <t>2025/PA/024</t>
  </si>
  <si>
    <t>SERVICIO DE MANTENIMIENTO Y CONSERVACIÓN INTEGRAL DE LA SEÑALIZACIÓN DE LAS VÍAS PÚBLICAS</t>
  </si>
  <si>
    <t>API MOVILIDAD, S.A</t>
  </si>
  <si>
    <t>https://contrataciondelestado.es/wps/poc?uri=deeplink:detalle_licitacion&amp;idEvl=FjONckfEQaItm4eBPtV6eQ%3D%3D</t>
  </si>
  <si>
    <t>2025/PA/031</t>
  </si>
  <si>
    <t>SERVICIO DE MANTENIMIENTO Y CONSERVACIÓN DE ÁREAS DE JUEGO INFANTIL Y CIRCUITOS BIOSALUDABLES MUNICIPALES</t>
  </si>
  <si>
    <t>https://contrataciondelestado.es/wps/poc?uri=deeplink:detalle_licitacion&amp;idEvl=01JRpYKCkf7N3k3tjedSGw%3D%3D</t>
  </si>
  <si>
    <t>2025/PA/032
Lote 1</t>
  </si>
  <si>
    <t>SERVICIOS DE ANIMACIÓN DE LA FIESTA DE LOS REYES MAGOS- Lote 1: Animación cabalgata y eventos Reyes Magos</t>
  </si>
  <si>
    <t>AGRUPACIÓN DINAMIA, S.L.</t>
  </si>
  <si>
    <t>https://contrataciondelestado.es/wps/poc?uri=deeplink:detalle_licitacion&amp;idEvl=a5bCiSgiKgD10HRJw8TEnQ%3D%3D</t>
  </si>
  <si>
    <t>2025/PA/032
Lote 2</t>
  </si>
  <si>
    <t>SERVICIOS DE ANIMACIÓN DE LA FIESTA DE LOS REYES MAGOS- Lote 2: Desfile de animales en la Cabalgata de Reyes</t>
  </si>
  <si>
    <t>ESCUELA DE EQUITACIÓN EL CENTAURO, S.L</t>
  </si>
  <si>
    <t>2025/PA/032
Lote 3</t>
  </si>
  <si>
    <t>SERVICIOS DE ANIMACIÓN DE LA FIESTA DE LOS REYES MAGOS-. Lote 3: Restauración</t>
  </si>
  <si>
    <t>MELODANA, S.L.</t>
  </si>
  <si>
    <t>2024/PAS/005
Lote 3</t>
  </si>
  <si>
    <t>SERVICIO DE ORGANIZACIÓN Y DESARROLLO DE TALLERES CULTURALES EN LAS BIBLIOTECAS MUNICIPALES. Lote 3 Taller de comic</t>
  </si>
  <si>
    <t>23/10/2024</t>
  </si>
  <si>
    <t>EVA LOSADA CASANOVA</t>
  </si>
  <si>
    <t>2.809,62 €</t>
  </si>
  <si>
    <t>10/02/2025</t>
  </si>
  <si>
    <t>https://contrataciondelestado.es/wps/poc?uri=deeplink:detalle_licitacion&amp;idEvl=%2F1%2FO73WvsBAtm4eBPtV6eQ%3D%3D</t>
  </si>
  <si>
    <t>2024/PAS/005
Lotes 1 y 2</t>
  </si>
  <si>
    <t>SERVICIO DE ORGANIZACIÓN Y DESARROLLO DE TALLERES CULTURALES EN LAS BIBLIOTECAS MUNICIPALES. Lote 1 Taller de escritura creativa. Lote 2 Taller de Poesía</t>
  </si>
  <si>
    <t>UNBLOCK CREATIVITY, S.L.</t>
  </si>
  <si>
    <t>L1: 6.125,63 €
L2: 6.125,63 €</t>
  </si>
  <si>
    <t>7/02/2025</t>
  </si>
  <si>
    <t>2025/PAS/011</t>
  </si>
  <si>
    <t>SERVICIO DE REALIZACIÓN DE ACTUACIONES PARA LA PROMOCIÓN DE LA IGUALDAD DE OPORTUNIDADES ENTRE HOMBRES Y MUJERES, ASÍ COMO EN CONTRA DE LA VIOLENCIA DE GÉNERO</t>
  </si>
  <si>
    <t>PROACTIVA FORMACIÓN, S.L.,</t>
  </si>
  <si>
    <t>https://contrataciondelestado.es/wps/poc?uri=deeplink:detalle_licitacion&amp;idEvl=dHSx6nNkrSjyoM4us5k4vw%3D%3D</t>
  </si>
  <si>
    <t>2025/PAS/016</t>
  </si>
  <si>
    <t>SERVICIO PARA LA ORGANIZACIÓN Y REPRESENTACIÓN DE SESIONES DE CUENTACUENTOS EN LENGUA INGLESA EN LOS CENTROS EDUCATIVOS PÚBLICOS Y CONCERTADOS DEL MUNICIPIO</t>
  </si>
  <si>
    <t>EUSEBIO SANCHÍS GULLÓ</t>
  </si>
  <si>
    <t>https://contrataciondelestado.es/wps/poc?uri=deeplink:detalle_licitacion&amp;idEvl=1SgZ8H%2FAshDECtSnloz%2BZQ%3D%3D</t>
  </si>
  <si>
    <t>2025/PASA/002 Lotes 1, 2, 3 y 4</t>
  </si>
  <si>
    <t>SERVICIO DE CONTROL DE LA CALIDAD DEL AGUA</t>
  </si>
  <si>
    <t>ANALIZA CALIDAD DEL AGUA, S.L</t>
  </si>
  <si>
    <t>L1: 4.995,88 €
L2: 4.854,71 €
L3: 9.450,70 €
L4: 5.324,38 €</t>
  </si>
  <si>
    <t>https://contrataciondelestado.es/wps/poc?uri=deeplink:detalle_licitacion&amp;idEvl=4hyyCq8wxaQ7%2B9FIQYNjeQ%3D%3D</t>
  </si>
  <si>
    <t>2025/PASA/003 Lotes 1, 2 y 3</t>
  </si>
  <si>
    <t>SERVICIO DE REVISIÓN, MANTENIMIENTO, LIMPIEZA Y DESINFECCIÓN DE LOS INSTRUMENTOS DE LA ESCUELA MUNICIPAL DE MÚSICA Y DANZA</t>
  </si>
  <si>
    <t>SCHAGERL ESPAÑA, S.L.</t>
  </si>
  <si>
    <t>L1: 4.779,00 €
L2: 2.256,75 €
L3: 6.239,25 €</t>
  </si>
  <si>
    <t>https://contrataciondelestado.es/wps/poc?uri=deeplink:detalle_licitacion&amp;idEvl=w7ptyRjXYA47u6%2B%2FR7DUoA%3D%3D</t>
  </si>
  <si>
    <t>2025/PASA/004
Lote 1</t>
  </si>
  <si>
    <t>SERVICIO DE ORGANIZACIÓN DE LAS ACTIVIDADES LÚDICAS Y FAMILIARES DURANTE LA CELEBRACIÓN DE LAS FIESTAS PATRONALES DE SAN GREGORIO EN 2025 Lote 1 Servicio de Restauración</t>
  </si>
  <si>
    <t>26/03/2025</t>
  </si>
  <si>
    <t>PLATOS Y TAPAS, S.L.U.,</t>
  </si>
  <si>
    <t>4.004,40€</t>
  </si>
  <si>
    <t>07/05/2025</t>
  </si>
  <si>
    <t>https://contrataciondelestado.es/wps/poc?uri=deeplink:detalle_licitacion&amp;idEvl=hlaslNpINo3yoM4us5k4vw%3D%3D</t>
  </si>
  <si>
    <t>2025/PASA/004
Lote 2</t>
  </si>
  <si>
    <t>SERVICIO DE ORGANIZACIÓN DE LAS ACTIVIDADES LÚDICAS Y FAMILIARES DURANTE LA CELEBRACIÓN DE LAS FIESTAS PATRONALES DE SAN GREGORIO EN 2025. Lote 2 Servicio de Pirotecnia</t>
  </si>
  <si>
    <t>F.A. DEL MEDITERRÁNEO, S.L.U.</t>
  </si>
  <si>
    <t>4.840,00€</t>
  </si>
  <si>
    <t>2025/PASA/004
Lote 3</t>
  </si>
  <si>
    <t>SERVICIO DE ORGANIZACIÓN DE LAS ACTIVIDADES LÚDICAS Y FAMILIARES DURANTE LA CELEBRACIÓN DE LAS FIESTAS PATRONALES DE SAN GREGORIO EN 2025Lote 3 Servicio de Animación</t>
  </si>
  <si>
    <t>MERINO Y MERINO PRODUCCIONES, S.L</t>
  </si>
  <si>
    <t>26.589,75€</t>
  </si>
  <si>
    <t>2025/PASA/014</t>
  </si>
  <si>
    <t>SERVICIO DE ORGANIZACIÓN DE CATERINGS PARA ACTOS PROTOCOLARIOS</t>
  </si>
  <si>
    <t>TRACERIG, S.L</t>
  </si>
  <si>
    <t>https://contrataciondelestado.es/wps/poc?uri=deeplink:detalle_licitacion&amp;idEvl=aZWKuqjEQqkS7pcxhTeWOg%3D%3D</t>
  </si>
  <si>
    <t>2025/PASA/015</t>
  </si>
  <si>
    <t xml:space="preserve">SERVICIO DE ORGANIZACIÓN DEL ACTO INSTITUCIONAL DE HOMENAJE A LA BANDERA </t>
  </si>
  <si>
    <t>EVENTOS INFIMA, S.L.</t>
  </si>
  <si>
    <t>https://contrataciondelestado.es/wps/poc?uri=deeplink:detalle_licitacion&amp;idEvl=JXh0P4kPvUGqb7rCcv76BA%3D%3D</t>
  </si>
  <si>
    <t>2025/PASA/017</t>
  </si>
  <si>
    <t>SERVICIO DE ORGANIZACIÓN DE LA GALA DEL DEPORTE 2025</t>
  </si>
  <si>
    <t>TELECYL, S.A.</t>
  </si>
  <si>
    <t>https://contrataciondelestado.es/wps/poc?uri=deeplink:detalle_licitacion&amp;idEvl=PRdi8YUd7LdVq4S9zvaQpQ%3D%3D</t>
  </si>
  <si>
    <t>2025/PASA/020
Lote 1</t>
  </si>
  <si>
    <t>SERVICIO DE ORGANIZACIÓN DE ENCUENTRO NAVIDEÑO DE PERSONAS MAYORES- Lote 1: Servicio de Restauración</t>
  </si>
  <si>
    <t>https://contrataciondelestado.es/wps/poc?uri=deeplink:detalle_licitacion&amp;idEvl=dqfgokKYmJtLAIVZdUs8KA%3D%3D</t>
  </si>
  <si>
    <t>2025/PASA/020
Lote 2</t>
  </si>
  <si>
    <t>SERVICIO DE ORGANIZACIÓN DE ENCUENTRO NAVIDEÑO DE PERSONAS MAYORES- Lote 2: Servicio de adecuación de espacio</t>
  </si>
  <si>
    <t>2024/CB/024</t>
  </si>
  <si>
    <t>DIRECCION FACULTATIVA DE LAS OBRAS DE OPERACION ASFALTO DERIVADO 4 FASE I</t>
  </si>
  <si>
    <t>ESTUDIO AIA ARQUITECTOS INGENIEROS ASOCIADOS, S.A</t>
  </si>
  <si>
    <t>9.739,42 €</t>
  </si>
  <si>
    <t>https://contrataciondelestado.es/wps/poc?uri=deeplink:detalle_licitacion&amp;idEvl=oxSPlWh%2FlmSKeVWTb9Scog%3D%3D</t>
  </si>
  <si>
    <t>2024/CB/027</t>
  </si>
  <si>
    <t>COORDINACIÓN DE SEGURIDAD Y SALUD DE LAS OBRAS DE OPERACIÓN ASFALTO, DERIVADO 4 FASE I</t>
  </si>
  <si>
    <t>INGENIERIA Y PREVENCIÓN DE RIESGOS, S.L.</t>
  </si>
  <si>
    <t>6.772,70 €</t>
  </si>
  <si>
    <t>https://contrataciondelestado.es/wps/poc?uri=deeplink:detalle_licitacion&amp;idEvl=Pa0tmrBdnIqKeVWTb9Scog%3D%3D</t>
  </si>
  <si>
    <t>2025/CB/002</t>
  </si>
  <si>
    <t>REDACCION DEL PROYECTO DE OBRAS DEL CENTRO MUNICIPAL DISTRITO HUMERA</t>
  </si>
  <si>
    <t>ESTUDIO AIA ARQUITECTOS INGENIEROS ASOCIADOS, S.A.,</t>
  </si>
  <si>
    <t>8.058,00 €</t>
  </si>
  <si>
    <t>28/05/2025</t>
  </si>
  <si>
    <t>https://contrataciondelestado.es/wps/poc?uri=deeplink:detalle_licitacion&amp;idEvl=ZnBawoZ%2F0CKFQ%2FlhRK79lA%3D%3D</t>
  </si>
  <si>
    <t>2025/CB/003</t>
  </si>
  <si>
    <t>REDACCION DE PROYECTO DE OBRAS DE AJARDINAMIENTO DE LA ROTONDA M511 CON AVDA CASABLANCA</t>
  </si>
  <si>
    <t>PROES CONSULTORES, S.A.</t>
  </si>
  <si>
    <t>4.018,58 €</t>
  </si>
  <si>
    <t>12/05/2025</t>
  </si>
  <si>
    <t>https://contrataciondelestado.es/wps/poc?uri=deeplink:detalle_licitacion&amp;idEvl=G7ykyDCNd7wIYE3ZiZ%2BxmQ%3D%3D</t>
  </si>
  <si>
    <t>2025/CB/004</t>
  </si>
  <si>
    <t>REDACCION DEL PROYECTO DE OBRAS DE AJARDINAMIENTO DE LA ROTONDA DE LA M502 CON M511</t>
  </si>
  <si>
    <t>PROES CONSULTORES S.A.</t>
  </si>
  <si>
    <t>6.487,96 €</t>
  </si>
  <si>
    <t>14/05/2025</t>
  </si>
  <si>
    <t>https://contrataciondelestado.es/wps/poc?uri=deeplink:detalle_licitacion&amp;idEvl=v6XbKGlXitlPpzdqOdhuWg%3D%3D</t>
  </si>
  <si>
    <t>2025/CB/005</t>
  </si>
  <si>
    <t>REDACCION DEL PROYECTO DE OBRAS DE AJARDINAMIENTO  DE LA ROTONDA DE LA M502 C/V AVENIDA DE LA CARRERA</t>
  </si>
  <si>
    <t>7.797,53 €</t>
  </si>
  <si>
    <t>https://contrataciondelestado.es/wps/poc?uri=deeplink:detalle_licitacion&amp;idEvl=%2BNH4NE6V53OHCIsjvJ3rhQ%3D%3D</t>
  </si>
  <si>
    <t>2025/CB/006</t>
  </si>
  <si>
    <t>REDACCION DEL PROYECTO DE OBRAS DEL PARQUE EN EL ENTORNO DE LA CALLE INGLATERRA</t>
  </si>
  <si>
    <t>16.193,20 €</t>
  </si>
  <si>
    <t>26/05/2025</t>
  </si>
  <si>
    <t>https://contrataciondelestado.es/wps/poc?uri=deeplink:detalle_licitacion&amp;idEvl=iKrkt3MVjKgzjChw4z%2FXvw%3D%3D</t>
  </si>
  <si>
    <t>2025/CB/007</t>
  </si>
  <si>
    <t>REDACCION DEL PROYECTO DE OBRAS DEL OBSERVATORIO DE AVIFAUNA, MOBILIARIO URBANO Y CARTELERÍA</t>
  </si>
  <si>
    <t>3.385,42 €</t>
  </si>
  <si>
    <t>https://contrataciondelestado.es/wps/poc?uri=deeplink:detalle_licitacion&amp;idEvl=d0L7yGJ%2BZ4BrSd8H4b2soA%3D%3D</t>
  </si>
  <si>
    <t>2025/CB/008</t>
  </si>
  <si>
    <t>REDACCION DEL PROYECTO DE OBRAS DEL PARQUE DE CARCAVAS</t>
  </si>
  <si>
    <t>10.827,24 €</t>
  </si>
  <si>
    <t>https://contrataciondelestado.es/wps/poc?uri=deeplink:detalle_licitacion&amp;idEvl=%2FekwtX3N5Ti9Hd5zqvq9cg%3D%3D</t>
  </si>
  <si>
    <t>2025/CB/009</t>
  </si>
  <si>
    <t>REDACCION DEL PROYECTO DE OBRAS DEL CAMINO DE LOS CABALLOS</t>
  </si>
  <si>
    <t>2.758,78 €</t>
  </si>
  <si>
    <t>https://contrataciondelestado.es/wps/poc?uri=deeplink:detalle_licitacion&amp;idEvl=FLlsd2HIxM8eC9GJQOEBkQ%3D%3D</t>
  </si>
  <si>
    <t>2025/CB/010</t>
  </si>
  <si>
    <t>REDACCION DEL PROYECTO DE CONSTRUCCIÓN DE TRAMOS DE UNION DE CARRILES BICI EN POZUELO DE ALARCÓN</t>
  </si>
  <si>
    <t>ESTUDIO AIA ARQUITECTOS INGENIEROS ASOCIADOS, S.A.</t>
  </si>
  <si>
    <t>9.409,40 €</t>
  </si>
  <si>
    <t>08/05/2025</t>
  </si>
  <si>
    <t>https://contrataciondelestado.es/wps/poc?uri=deeplink:detalle_licitacion&amp;idEvl=XwUMIuZTtQCOUi78BmzhOQ%3D%3D</t>
  </si>
  <si>
    <t>2025/CB/011</t>
  </si>
  <si>
    <t>REDACCION DEL PROYECTO DE OBRAS DE REPARACION DEL DESPLOME EXISTENTE EN EL MURO MEDIANERO EN EL CEIP SAN JOSE OBRERO</t>
  </si>
  <si>
    <t>3.048,35 €</t>
  </si>
  <si>
    <t>https://contrataciondelestado.es/wps/poc?uri=deeplink:detalle_licitacion&amp;idEvl=TDlZkHOl6VdeKgd8LfVV9g%3D%3D</t>
  </si>
  <si>
    <t>2025/CB/012</t>
  </si>
  <si>
    <t>REDACCION DEL PROYECTO DE 16 AREAS INFANTILES</t>
  </si>
  <si>
    <t>PROES CONSULTORES S..A.</t>
  </si>
  <si>
    <t>23.944,05 €</t>
  </si>
  <si>
    <t>https://contrataciondelestado.es/wps/poc?uri=deeplink:detalle_licitacion&amp;idEvl=hV3BL7R6vBfLIx6q1oPaMg%3D%3D</t>
  </si>
  <si>
    <t>2025/CB/013</t>
  </si>
  <si>
    <t>DIRECCION FACULTATIVA DE LAS OBRAS DE AJARDINAMIENTO DE LA ROTONDA DE LA CALLE CANADA</t>
  </si>
  <si>
    <t>2.459,22 €</t>
  </si>
  <si>
    <t>https://contrataciondelestado.es/wps/poc?uri=deeplink:detalle_licitacion&amp;idEvl=1Lw9FGJujbWIzo3LHNPGcQ%3D%3D</t>
  </si>
  <si>
    <t>2025/CB/016</t>
  </si>
  <si>
    <t>REDACCION DEL PROYECTO DE OBRAS DE CONSTRUCCIÓN DE UN CENTRO DE BIENESTAR ANIMAL</t>
  </si>
  <si>
    <t>ESTUDIO AIA ARQUITECTOS INGENIEROS</t>
  </si>
  <si>
    <t>https://contrataciondelestado.es/wps/poc?uri=deeplink:detalle_licitacion&amp;idEvl=npDBN9HK5qAXhk1FZxEyvw%3D%3D</t>
  </si>
  <si>
    <t>2025/CB/017</t>
  </si>
  <si>
    <t>DIRECCION FACULTATIVA DE LAS OBRAS DE AREA DE ESPARCIMIENTO CANINO EN LA CALLE ABREGO</t>
  </si>
  <si>
    <t>PROES CONSULTORES, S A.</t>
  </si>
  <si>
    <t>https://contrataciondelestado.es/wps/poc?uri=deeplink:detalle_licitacion&amp;idEvl=LfDHfsZIPevE6P%2FuLemXRw%3D%3D</t>
  </si>
  <si>
    <t>2025/CB/018</t>
  </si>
  <si>
    <t>REDACCION PROYECTO OPERACIÓN ASFALTO DERIVADO 4 FASE II</t>
  </si>
  <si>
    <t>13.574,01 €</t>
  </si>
  <si>
    <t>06/05/2025</t>
  </si>
  <si>
    <t>https://contrataciondelestado.es/wps/poc?uri=deeplink:detalle_licitacion&amp;idEvl=utSw8Mmt%2Fw%2BFlFRHfEzEaw%3D%3D</t>
  </si>
  <si>
    <t>2025/CB/019</t>
  </si>
  <si>
    <t>DIRECCION FACULTATIVA DE LAS OBRAS DE CONSTRUCCIÓN DE EDIFICIOS Y PISCINA CLIMATIZADA EN EL COMPLEJO DEPORTIVO CARLOS RUIZ</t>
  </si>
  <si>
    <t>https://contrataciondelestado.es/wps/poc?uri=deeplink:detalle_licitacion&amp;idEvl=5yzwleUTCtH5Rey58Yagpg%3D%3D</t>
  </si>
  <si>
    <t>2025/CB/020</t>
  </si>
  <si>
    <t>DIRECCION FACULTATIVA DE LAS OBRAS DE IMPLANTACIÓN Y PUESTA EN FUNCIONAMIENTO DE LA ZONA DE BAJAS EMISIONES</t>
  </si>
  <si>
    <t>14.399,39 €</t>
  </si>
  <si>
    <t>https://contrataciondelestado.es/wps/poc?uri=deeplink:detalle_licitacion&amp;idEvl=jwMzjQ4lCiQeIBJRHQiPkQ%3D%3D</t>
  </si>
  <si>
    <t>2025/CB/021</t>
  </si>
  <si>
    <t>COORDINACIÓN DE SEGURIDAD Y SALUD DE LAS OBRAS DE IMPLANTACIÓN Y PUESTA EN FUNCIONAMIENTO DE LA ZONA DE BAJAS EMISIONES</t>
  </si>
  <si>
    <t>8.194,05 €</t>
  </si>
  <si>
    <t>https://contrataciondelestado.es/wps/poc?uri=deeplink:detalle_licitacion&amp;idEvl=Hn7j%2FKlRsGfjHF5qKI4aaw%3D%3D</t>
  </si>
  <si>
    <t>2025/CB/022</t>
  </si>
  <si>
    <t>DIRECCIÓN FACULTATIVA DE LAS OBRAS DE PARQUE INFANTIL EN LA CALLE DIAMANTE</t>
  </si>
  <si>
    <t>PROES CONSULTORES S.A</t>
  </si>
  <si>
    <t>https://contrataciondelestado.es/wps/poc?uri=deeplink:detalle_licitacion&amp;idEvl=IcNzVfL0PzDyoM4us5k4vw%3D%3D</t>
  </si>
  <si>
    <t>2025/CB/023</t>
  </si>
  <si>
    <t>COORDINACIÓN DE SEGURIDAD Y SALUD DE LAS OBRAS DE ÁREA INFANTIL EN LA CALLE DIAMANTE</t>
  </si>
  <si>
    <t>INGENIERIA Y PREVENCIÓN DE RIESGOS, S L.</t>
  </si>
  <si>
    <t>https://contrataciondelestado.es/wps/poc?uri=deeplink:detalle_licitacion&amp;idEvl=gW7L0jYPDEV9Zh%2FyRJgM8w%3D%3D</t>
  </si>
  <si>
    <t>2025/CB/024</t>
  </si>
  <si>
    <t>COORDINACIÓN DE SEGURIDAD Y SALUD DE LAS OBRAS DE CONSTRUCCIÓN DE EDIFICIOS Y PISCINA CLIMATIZADA EN EL COMPLEJO DEPORTIVO CARLOS RUIZ</t>
  </si>
  <si>
    <t>https://contrataciondelestado.es/wps/poc?uri=deeplink:detalle_licitacion&amp;idEvl=nLplhJF22UW2gkLQ8TeYKA%3D%3D</t>
  </si>
  <si>
    <t>2025/CB/025</t>
  </si>
  <si>
    <t>DIRECCIÓN FACULTATIVA DE LAS OBRAS DE DEFENSA Y REFORESTACIÓN DE MÁRGENES EN LAS LAGUNAS DEL PARQUE FORESTAL DE SOMOSAGUAS ADOLFO SUÁREZ</t>
  </si>
  <si>
    <t>https://contrataciondelestado.es/wps/poc?uri=deeplink:detalle_licitacion&amp;idEvl=bycCyVkTNoryoM4us5k4vw%3D%3D</t>
  </si>
  <si>
    <t>2025/CB/026</t>
  </si>
  <si>
    <t>COORDINACIÓN DE SEGURIDAD Y SALUD DE LAS OBRAS DE DEFENSA Y REFORESTACIÓN DE MÁRGENES EN LAS LAGUNAS DEL PARQUE FORESTAL DE SOMOSAGUAS ADOLFO SUÁREZ</t>
  </si>
  <si>
    <t>INGENIERIA Y PREVENCIÓN DE RIESGOS, S.L</t>
  </si>
  <si>
    <t>https://contrataciondelestado.es/wps/poc?uri=deeplink:detalle_licitacion&amp;idEvl=2LysVaZNc7Ytm4eBPtV6eQ%3D%3D</t>
  </si>
  <si>
    <t>2025/CB/028</t>
  </si>
  <si>
    <t>COORDINACIÓN DE SEGURIDAD Y SALUD DE LA OBRA DE OPERACIÓN ASFALTO DERIVADO 4 FASE II</t>
  </si>
  <si>
    <t>https://contrataciondelestado.es/wps/poc?uri=deeplink:detalle_licitacion&amp;idEvl=ofmLxVgHwbPECtSnloz%2BZQ%3D%3D</t>
  </si>
  <si>
    <t>2025/CB/029</t>
  </si>
  <si>
    <t>REDACCIÓN DEL PROYECTO DE OBRAS DE LA FASE R DE URBANIZACIÓN DEL APR 4.3-10 “M-503 CARRETERA DE ARAVACA”</t>
  </si>
  <si>
    <t>https://contrataciondelestado.es/wps/poc?uri=deeplink:detalle_licitacion&amp;idEvl=IqmYkFNsSqaHCIsjvJ3rhQ%3D%3D</t>
  </si>
  <si>
    <t>2025/CB/030</t>
  </si>
  <si>
    <t>COORDINACION DE SEGURIDAD Y SALUD DE LAS OBRAS DE AJARDINAMIENTO DE LA ROTONDA DE LA CALLE CANADA</t>
  </si>
  <si>
    <t>https://contrataciondelestado.es/wps/poc?uri=deeplink:detalle_licitacion&amp;idEvl=twOA8dbeLHZrhBlEHQFSKA%3D%3D</t>
  </si>
  <si>
    <t>2025/CB/031</t>
  </si>
  <si>
    <t>REDACCION DEL PROYECTO DE OBRAS DE ZONA INFANTIL, DE MAQUINAS FITNESS DE EXTERIOR Y AREA DE CALISTENIA DEL PARQUE EN EL ENTORNO A LA CALLE INGLATERRA</t>
  </si>
  <si>
    <t>https://contrataciondelestado.es/wps/poc?uri=deeplink:detalle_licitacion&amp;idEvl=IpqEx1GIY8seIBJRHQiPkQ%3D%3D</t>
  </si>
  <si>
    <t>2025/CB/032</t>
  </si>
  <si>
    <t>DIRECCION FACULTATIVA OBRAS DE OPERACIÓN ASFALTO, DERIVADO 4 FASE II</t>
  </si>
  <si>
    <t>https://contrataciondelestado.es/wps/poc?uri=deeplink:detalle_licitacion&amp;idEvl=C1bFlFAyqH9%2FR5QFTlaM4A%3D%3D</t>
  </si>
  <si>
    <t>2025/CB/033</t>
  </si>
  <si>
    <t>DIRECCIÓN FACULTATIVA DE LAS OBRAS DE REHABILITACIÓN DE LAS CUBIERTAS DEL POLIDEPORTIVO EL PRADILLO</t>
  </si>
  <si>
    <t>https://contrataciondelestado.es/wps/poc?uri=deeplink:detalle_licitacion&amp;idEvl=inyqxcwU8si8ebB%2FXTwy0A%3D%3D</t>
  </si>
  <si>
    <t>2025/CB/034</t>
  </si>
  <si>
    <t>DIRECCIÓN FACULTATIVA DE LAS OBRAS DE REHABILITACIÓN DE LAS FACHADAS DEL EDIFICIO REYES CATOLICOS</t>
  </si>
  <si>
    <t>https://contrataciondelestado.es/wps/poc?uri=deeplink:detalle_licitacion&amp;idEvl=vcxA3Ae55O0kJPJS%2BPS9vg%3D%3D</t>
  </si>
  <si>
    <t>2025/CB/035</t>
  </si>
  <si>
    <t>COORDINACIÓN DE SEGURIDAD Y SALUD DE LAS OBRAS DE REHABILITACION DE CUBIERTAS DEL POLIDEPORTIVO EL PRADILLO</t>
  </si>
  <si>
    <t>https://contrataciondelestado.es/wps/poc?uri=deeplink:detalle_licitacion&amp;idEvl=zmtEfQg5jj4ZDGvgaZEVxQ%3D%3D</t>
  </si>
  <si>
    <t>2025/CB/036</t>
  </si>
  <si>
    <t>COORDINACIÓN DE SEGURIDAD Y SALUD DE LAS OBRAS DE REHABILITACION DE LAS FACHADAS DEL EDIFICIO REYES CATÓLICOS</t>
  </si>
  <si>
    <t>https://contrataciondelestado.es/wps/poc?uri=deeplink:detalle_licitacion&amp;idEvl=OkqzkvlYlp87u6%2B%2FR7DUoA%3D%3D</t>
  </si>
  <si>
    <t>2025/CB/037</t>
  </si>
  <si>
    <t>SERVICIO DE MEDIACIÓN DE RIESGOS Y SEGUROS</t>
  </si>
  <si>
    <t>WILLIS IBERIA CORREDURÍA DE SEGUROS Y REASEGUROS, S.A. (Lotes 1 y 2)
UTE MARSH S.A. MEDIADORES DE SEGUROS Y DEASTERRA PARTNERS, S.L. (Lote 3)
AON IBERIA CORREDURIA DE SEGUROS Y REASEGUROS, S.A.U. (Lote 4)</t>
  </si>
  <si>
    <t>Comisión</t>
  </si>
  <si>
    <t>https://contrataciondelestado.es/wps/poc?uri=deeplink:detalle_licitacion&amp;idEvl=O61p34v7ZLicTfjQf3USOg%3D%3D</t>
  </si>
  <si>
    <t>2025/CB/038</t>
  </si>
  <si>
    <t>REDACCION DEL PROYECTO DE OBRAS DE CONSTRUCCION, ACCESIBILIDAD Y EFICIENCIA ENERGÉTICA EN LAS PISCINAS DE VERANO DEL POLIDEPORTIVO CARLOS RUIZ</t>
  </si>
  <si>
    <t>https://contrataciondelestado.es/wps/poc?uri=deeplink:detalle_licitacion&amp;idEvl=akKUBVOAsJeTylGzYmBF9Q%3D%3D</t>
  </si>
  <si>
    <t>2025/CB/039</t>
  </si>
  <si>
    <t>COORDINACIÓN DE SEGURIDAD Y SALUD DE LAS OBRAS DEL ÁREA DE ESPARCIMIENTO CANINO EN LA CALLE ABREGO</t>
  </si>
  <si>
    <t>https://contrataciondelestado.es/wps/poc?uri=deeplink:detalle_licitacion&amp;idEvl=ywWa%2BDhBLw0zjChw4z%2FXvw%3D%3D</t>
  </si>
  <si>
    <t>2025/CB/040</t>
  </si>
  <si>
    <t>DIRECCIÓN FACULTATIVA DE LAS OBRAS DE REHABILITACIÓN DE LAS CUBIERTAS DE LAS PISCINAS CLIMATIZADAS DEL POLIDEPORTIVO EL TORREÓN</t>
  </si>
  <si>
    <t>https://contrataciondelestado.es/wps/poc?uri=deeplink:detalle_licitacion&amp;idEvl=9fujUpV%2B%2BMc%2B1TMyIiZmzw%3D%3D</t>
  </si>
  <si>
    <t>2025/CB/041</t>
  </si>
  <si>
    <t>COORDINACIÓN DE SEGURIDAD Y SALUD DE LAS OBRAS DE REHABILITACION DE CUBIERTAS DE LAS PISCINAS CLIMATIZADAS DEL POLIDEPORTIVO EL TORREON</t>
  </si>
  <si>
    <t>INGENIERÍA Y PREVENCION DE RIESGOS, S.L.</t>
  </si>
  <si>
    <t>https://contrataciondelestado.es/wps/poc?uri=deeplink:detalle_licitacion&amp;idEvl=xTVqVatPsaUtm4eBPtV6eQ%3D%3D</t>
  </si>
  <si>
    <t>2025/CB/042</t>
  </si>
  <si>
    <t>REDACCION DEL PROYECTO DE OBRAS DE INSTALACION DE BARANDILLA, ESCALA DE SUBIDA A AZOTEA DEL CENTRO DE MAYORES PRADO DE TORREJON</t>
  </si>
  <si>
    <t>https://contrataciondelestado.es/wps/poc?uri=deeplink:detalle_licitacion&amp;idEvl=MjCd4cHXC5Ozz8fXU2i3eQ%3D%3D</t>
  </si>
  <si>
    <t>2025/CB/043</t>
  </si>
  <si>
    <t>REDACCIÓN DE ESTUDIO DE VIABILIDAD DE CONCESIÓN DE OBRA PÚBLICA PARA CONSTRUCCIÓN Y EXPLOTACIÓN DE UN PALACIO DE CONGRESOS Y HOTEL</t>
  </si>
  <si>
    <t>NUEVOS TIEMPOS CONSULTORES S.L.</t>
  </si>
  <si>
    <t>https://contrataciondelestado.es/wps/poc?uri=deeplink:detalle_licitacion&amp;idEvl=1DIcc56cDT8aF6cS8TCh%2FA%3D%3D</t>
  </si>
  <si>
    <t>2025/CB/044</t>
  </si>
  <si>
    <t>CONTRATO BASADO PARA DIRECCIÓN FACULTATIVA PARA LA OBRA DE DESPLOME EXISTENTE EN EL MURO MEDIANERO EN EL CEIP SAN JOSE OBRERO</t>
  </si>
  <si>
    <t>https://contrataciondelestado.es/wps/poc?uri=deeplink:detalle_licitacion&amp;idEvl=6KA%2FTheJUZAmMOlAXxDEjw%3D%3D</t>
  </si>
  <si>
    <t>2025/CB/045</t>
  </si>
  <si>
    <t>COORDINACIÓN DE SEGURIDAD Y SALUD PARA LA OBRA DE DESPLOME EXISTENTE EN EL MURO MEDIANERO EN EL COLEGIO SAN JOSE OBRERO</t>
  </si>
  <si>
    <t>INGENIERIA Y PREVENCION DE RIESGOS, S.L.</t>
  </si>
  <si>
    <t>https://contrataciondelestado.es/wps/poc?uri=deeplink:detalle_licitacion&amp;idEvl=NPXyR4LjEJlQFSeKCRun4Q%3D%3D</t>
  </si>
  <si>
    <t>2025/CB/048</t>
  </si>
  <si>
    <t>CONTRATO BASADO REDACCIÓN DE ESTUDIO DE VIABILIDAD DE CONCESIÓN DE SERVICIOS EN EL COMPLEJO DEPORTIVO VALLE DE LAS CAÑAS</t>
  </si>
  <si>
    <t>https://contrataciondelestado.es/wps/poc?uri=deeplink:detalle_licitacion&amp;idEvl=X8z7hL7CceNxseVhcqrkhw%3D%3D</t>
  </si>
  <si>
    <t>2024//NSIN/012</t>
  </si>
  <si>
    <t>SERVICIO DE REDACCIÓN DEL PROYECTO BÁSICO DEL PALACIO DE CONGRESOS Y DE REDACCIÓN DEL PROYECTO BÁSICO DE EJECUCIÓN DE UN RECINTO FERIAL</t>
  </si>
  <si>
    <t>ESTUDIO MARTÍN CABALLERO, S.L.P.</t>
  </si>
  <si>
    <t>2024/PA/021 
Lotes 1, 2 y 3</t>
  </si>
  <si>
    <t>SUMINISTRO DE PRENDAS DE TRABAJO, UNIFORMES, CALZADO, COMPLEMENTOS Y EQUIPOS DE PROTECCIÓN INDIVIDUAL (EPI) PARA EL PERSONAL DE DETERMINADOS COLECTIVOS DEL AYUNTAMIENTO DE POZUELO DE ALARCÓN</t>
  </si>
  <si>
    <t>SUMINISTRO</t>
  </si>
  <si>
    <t>MAXPORT, S.A.</t>
  </si>
  <si>
    <t>L1: 35.999,99 €
L2: 99.000,00 €
L3: 19.999,99 €</t>
  </si>
  <si>
    <t>2024/PA/023</t>
  </si>
  <si>
    <t>SUMINISTRO DE GASÓLEO PARA LAS DIFERENTES DEPENDENCIAS DEL AYUNTAMIENTO DE POZUELO DE ALARCÓN</t>
  </si>
  <si>
    <t>REPSOL COMERCIAL DE PRODUCTOS PETROLÍFEROS, S.A.</t>
  </si>
  <si>
    <t>137.798,43 €</t>
  </si>
  <si>
    <t>27/01/2025</t>
  </si>
  <si>
    <t>https://contrataciondelestado.es/wps/poc?uri=deeplink:detalle_licitacion&amp;idEvl=mW0Sks50v%2Fq7JOCXkOhcDg%3D%3D</t>
  </si>
  <si>
    <t>2024/PA/025 
Lote 3</t>
  </si>
  <si>
    <t>SUMINISTRO DE LICENCIAS INFORMÁTICAS MUNICIPALES. L1: LICENCIAS VEEAM BACKUP</t>
  </si>
  <si>
    <t>14/08/2024</t>
  </si>
  <si>
    <t>SERVICIOS MICROINFORMATICA, S.A.</t>
  </si>
  <si>
    <t>19.338,03 €</t>
  </si>
  <si>
    <t>2024/PA/025 
Lote 5</t>
  </si>
  <si>
    <t>SUMINISTRO DE LICENCIAS INFORMÁTICAS MUNICIPALES. L 5: LICENCIAS ADOBE</t>
  </si>
  <si>
    <t>DISINFOR, S.L.</t>
  </si>
  <si>
    <t>37.343,12 €</t>
  </si>
  <si>
    <t>2024/PA/025 
Lote 7</t>
  </si>
  <si>
    <t>SUMINISTRO DE LICENCIAS INFORMÁTICAS MUNICIPALES. L 7: LICENCIAS DEEPFREEZE</t>
  </si>
  <si>
    <t>ITS SW EU, S L.</t>
  </si>
  <si>
    <t>589,27 €</t>
  </si>
  <si>
    <t>2024/PA/025 
Lotes 1, 2 y 6</t>
  </si>
  <si>
    <t>SUMINISTRO DE LICENCIAS INFORMÁTICAS MUNICIPALES. L1: LICENCIAS ANYDESK; L2: LICENCIAS BENTLEY; L6: LICENCIAS PRESTO</t>
  </si>
  <si>
    <t>SEYS CAD SYSTEMS, S.L.</t>
  </si>
  <si>
    <t>L1: 3.559,72 €
L2: 27.663,50 €
L6: 1.422,96 €</t>
  </si>
  <si>
    <t>2024/PA/027</t>
  </si>
  <si>
    <t xml:space="preserve">SUMINISTRO, USO DE LICENCIAS DE PRODUCTOS MICROSOFT Y SOPORTE (SOFTWARE ASSURANCE) </t>
  </si>
  <si>
    <t>04/09/2024</t>
  </si>
  <si>
    <t>SPECIALIST COMPUTER CENTRES, S.L.</t>
  </si>
  <si>
    <t>722.028,45 €</t>
  </si>
  <si>
    <t>https://contrataciondelestado.es/wps/poc?uri=deeplink:detalle_licitacion&amp;idEvl=j2XfMYOXAxo%2FbjW6njtWLw%3D%3D</t>
  </si>
  <si>
    <t>2024/PA/032</t>
  </si>
  <si>
    <t>SUMINISTRO DE BOLSAS PARA EXCREMENTOS CANINOS</t>
  </si>
  <si>
    <t>MOHEDA &amp; RAÑAL, S.L</t>
  </si>
  <si>
    <t>84.796,80 €</t>
  </si>
  <si>
    <t>https://contrataciondelestado.es/wps/poc?uri=deeplink:detalle_licitacion&amp;idEvl=xMLOwXKycQGopEMYCmrbmw%3D%3D</t>
  </si>
  <si>
    <t>2024/PA/036</t>
  </si>
  <si>
    <t>SUMINISTRO DE COMBUSTIBLE  PARA VEHÍCULOS Y MAQUINARIA MUNICIPAL</t>
  </si>
  <si>
    <t>20/11/2024</t>
  </si>
  <si>
    <t>SOLRED, S.A</t>
  </si>
  <si>
    <t>299.200,00 €</t>
  </si>
  <si>
    <t>24/04/2025</t>
  </si>
  <si>
    <t>https://contrataciondelestado.es/wps/poc?uri=deeplink:detalle_licitacion&amp;idEvl=VDK%2BEKhAHDicTfjQf3USOg%3D%3D</t>
  </si>
  <si>
    <t>2025/PA/004</t>
  </si>
  <si>
    <t>SUMINISTRO DE EQUIPOS PARA LA RENOVACIÓN DE LA ELECTRÓNICA DE RED DEL AYUNTAMIENTO</t>
  </si>
  <si>
    <t>EVOLUTIO CLOUD ENABLER, S.A.</t>
  </si>
  <si>
    <t>https://contrataciondelestado.es/wps/poc?uri=deeplink:detalle_licitacion&amp;idEvl=YGjAEPXIyYfpxJFXpLZ%2B2A%3D%3D</t>
  </si>
  <si>
    <t>2025/PA/008</t>
  </si>
  <si>
    <t>SUMINISTRO DE ALQUILER DE UNA CARPA PARA RECINTO FERIAL DURANTE LAS FIESTAS DE LA CONSOLACIÓN</t>
  </si>
  <si>
    <t>PALACIO CALDERÓN, S.L.</t>
  </si>
  <si>
    <t>https://contrataciondelestado.es/wps/poc?uri=deeplink:detalle_licitacion&amp;idEvl=pfLaqAWN6fNVYjgxA4nMUw%3D%3D</t>
  </si>
  <si>
    <t>2025/PA/012 
Lotes 1 y 2</t>
  </si>
  <si>
    <t>ACUERDO MARCO DE SUMINISTRO DE MOBILIARIO DE OFICINA Y ESTORES</t>
  </si>
  <si>
    <t>GERALVEZ PROYECTOS CONTRAC SL.</t>
  </si>
  <si>
    <t>2025/PA/016
Lotes 1 Y 2</t>
  </si>
  <si>
    <t>RENTING DE SEIS MOTOS TIPO SCOOTER PARA LA POLICIA MUNICIPAL Y EL SERVICIO DE EMERGENCIAS-LOTE 1: Motocicletas Policía Municipal LOTE 2: Motocicletas SEAPA</t>
  </si>
  <si>
    <t>AT CAPITAL, S.L</t>
  </si>
  <si>
    <t>L1: 83.307,81 €
L2: 40.646,63 €</t>
  </si>
  <si>
    <t>https://contrataciondelestado.es/wps/poc?uri=deeplink:detalle_licitacion&amp;idEvl=nhMI3UzGafg3vLk2DU2Ddg%3D%3D</t>
  </si>
  <si>
    <t>2025/PA/019 
Lote 3</t>
  </si>
  <si>
    <t>SUMINISTRO DE TRES VEHÍCULOS PARA POLICIA MUNICIPAL, SERVICIO DE EMERGENCIAS SEAPA Y SERVICIO DE PROTECCIÓN CIVIL. Lote 3: vehículo para el servicio de Protección Civil.</t>
  </si>
  <si>
    <t>TECNOVE, S.L.</t>
  </si>
  <si>
    <t>2025/PA/019
Lotes 1 y 2</t>
  </si>
  <si>
    <t>SUMINISTRO DE TRES VEHÍCULOS PARA POLICIA MUNICIPAL, SERVICIO DE EMERGENCIAS SEAPA Y SERVICIO DE PROTECCIÓN CIVIL; Lote 1: vehículo para el servicio de emergencias (SEAPA); Lote 2: vehículo para la Unidad de Atestados de Policía Municipal.</t>
  </si>
  <si>
    <t>AUTOMÓVILES OVIEDO, S.A.</t>
  </si>
  <si>
    <t>L1: 67.989,90 €
L2: 89.903,00 €</t>
  </si>
  <si>
    <t>https://contrataciondelestado.es/wps/poc?uri=deeplink:detalle_licitacion&amp;idEvl=0WSMZ%2F9aeZ%2BExvMJXBMHHQ%3D%3D</t>
  </si>
  <si>
    <t>2025/PA/027</t>
  </si>
  <si>
    <t>SUMINISTRO DE ESPECIES VEGETALES - PLANTA DE FLOR DE TEMPORADA</t>
  </si>
  <si>
    <t>ASOCIACIÓN LA VEGUILLA</t>
  </si>
  <si>
    <t>https://contrataciondelestado.es/wps/poc?uri=deeplink:detalle_licitacion&amp;idEvl=KEZeQ7VmDSBq1DdmE7eaXg%3D%3D</t>
  </si>
  <si>
    <t>2025/PAS/005</t>
  </si>
  <si>
    <t>SUMINISTRO DE UN ASISTENTE VIRTUAL (CHATBOT)</t>
  </si>
  <si>
    <t>TELEFONICA SOLUCIONES DE INFORMATICA Y COMUNICACIONES DE ESPAÑA, S.A.U</t>
  </si>
  <si>
    <t>https://contrataciondelestado.es/wps/poc?uri=deeplink:detalle_licitacion&amp;idEvl=lWgEvmrzQJ%2BP%2Bo96UAV7cQ%3D%3D</t>
  </si>
  <si>
    <t>2025/PAS/006</t>
  </si>
  <si>
    <t>SUMINISTRO DE DETERMINADO MATERIAL INFORMÁTICO Y TECNOLÓGICO</t>
  </si>
  <si>
    <t>CENTROMIPC, S.L.,</t>
  </si>
  <si>
    <t>https://contrataciondelestado.es/wps/poc?uri=deeplink:detalle_licitacion&amp;idEvl=gFnSqH2hB0WAAM7L03kM8A%3D%3D</t>
  </si>
  <si>
    <t>2025/PAS/010
Lote 2</t>
  </si>
  <si>
    <t>SUMINISTRO DE EQUIPAMIENTO DEPORTIVO PARA EL POLIDEPORTIVO CARLOS RUIZ-LOTE 2: Máquinas fitness</t>
  </si>
  <si>
    <t>SAT AND CARE SERVICES, S.L.</t>
  </si>
  <si>
    <t>https://contrataciondelestado.es/wps/poc?uri=deeplink:detalle_licitacion&amp;idEvl=VrilWrBCdmgwYTJJ03sHog%3D%3D</t>
  </si>
  <si>
    <t>2025/PAS/013
Lote 1</t>
  </si>
  <si>
    <t>SUMINISTRO DE PRODUCTOS FARMACÉUTICOS, GASES MEDICINALES EN BOTELLA Y MATERIAL SANITARIO PARA LOS SERVICIOS SANITARIOS MUNICIPALES. Lote 1: Productos farmacéuticos</t>
  </si>
  <si>
    <t>JOAQUÍN CARLOS BOTELLA DIAZ</t>
  </si>
  <si>
    <t>https://contrataciondelestado.es/wps/poc?uri=deeplink:detalle_licitacion&amp;idEvl=HPXx6l7cWJt%2FR5QFTlaM4A%3D%3D</t>
  </si>
  <si>
    <t>2025/PAS/013
Lote 2</t>
  </si>
  <si>
    <t>SUMINISTRO DE PRODUCTOS FARMACÉUTICOS, GASES MEDICINALES EN BOTELLA Y MATERIAL SANITARIO PARA LOS SERVICIOS SANITARIOS MUNICIPALES. Lote 2: Oxígeno medicinal en botellas</t>
  </si>
  <si>
    <t>OXIGEN SALUD, S.A.U.</t>
  </si>
  <si>
    <t>2025/PAS/013
Lote 3</t>
  </si>
  <si>
    <t>SUMINISTRO DE PRODUCTOS FARMACÉUTICOS, GASES MEDICINALES EN BOTELLA Y MATERIAL SANITARIO PARA LOS SERVICIOS SANITARIOS MUNICIPALESLote 3 Material Sanitario</t>
  </si>
  <si>
    <t>ORTOACTIVA SUMINISTROS SANITARIOS Y ORTOPÉDICOS, S.L</t>
  </si>
  <si>
    <t>2025/PAS/014</t>
  </si>
  <si>
    <t>SUMINISTRO DE LICENCIAS HIPERCONVERGENCIA</t>
  </si>
  <si>
    <t>ITWISE TECHNOLOGY SERVICES S L.,</t>
  </si>
  <si>
    <t>https://contrataciondelestado.es/wps/poc?uri=deeplink:detalle_licitacion&amp;idEvl=tqrhFTAy%2BQOdkQsA7ROvsg%3D%3D</t>
  </si>
  <si>
    <t>2025/PAS/024
LOTE 1</t>
  </si>
  <si>
    <t>ALQUILER DE UNA CARPA Y UNA PÉRGOLA PARA LA CAMPAÑA DE NAVIDAD- Lote 1: Alquiler de una pérgola para las Fiestas de la Navidad</t>
  </si>
  <si>
    <t>PRODUCCIONES Y SERVICIOS INTEGRALES, S.L.</t>
  </si>
  <si>
    <t>https://contrataciondelestado.es/wps/poc?uri=deeplink:detalle_licitacion&amp;idEvl=Dmb2KBgWdRt4zIRvjBVCSw%3D%3D</t>
  </si>
  <si>
    <t>2025/PAS/024
Lote 2</t>
  </si>
  <si>
    <t>ALQUILER DE UNA CARPA Y UNA PÉRGOLA PARA LA CAMPAÑA DE NAVIDAD- Lote 2: Alquiler de una carpa para la Verbena de Nochevieja</t>
  </si>
  <si>
    <t>FERIAS Y EVENTOS, S.L</t>
  </si>
  <si>
    <t>2024/PASA/008</t>
  </si>
  <si>
    <t>SUMINISTRO Y MANTENIMIENTO DE UN SONÓMETRO-CALIBRADOR PARA POLICÍA MUNICIPAL</t>
  </si>
  <si>
    <t>18/09/2024</t>
  </si>
  <si>
    <t>HOTTINGER BRÜEL&amp;KJAER, S.L.U.</t>
  </si>
  <si>
    <t>15/01/2025</t>
  </si>
  <si>
    <t>https://contrataciondelestado.es/wps/poc?uri=deeplink:detalle_licitacion&amp;idEvl=1e5xG0sN58ngL1BHd3qjQA%3D%3D</t>
  </si>
  <si>
    <t>2025/PASA/006</t>
  </si>
  <si>
    <t>SUMINISTRO DE PRODUCTOS PARA ACTOS PROTOCOLARIOS</t>
  </si>
  <si>
    <t>DEDWEN SERVICIOS DE PROCURA, S.L</t>
  </si>
  <si>
    <t>https://contrataciondelestado.es/wps/poc?uri=deeplink:detalle_licitacion&amp;idEvl=0kADpYJonDcUqXM96WStVA%3D%3D</t>
  </si>
  <si>
    <t>2025/PASA/007</t>
  </si>
  <si>
    <t>SUMINISTRO DE FLOR PARA ATENCIONES PROTOCOLARIAS</t>
  </si>
  <si>
    <t>Dª. MARIA ISABEL MARTOS ALVAREZ</t>
  </si>
  <si>
    <t>https://contrataciondelestado.es/wps/poc?uri=deeplink:detalle_licitacion&amp;idEvl=0Lvwnhpy1WqP%2Bo96UAV7cQ%3D%3D</t>
  </si>
  <si>
    <t>2025/PASA/010</t>
  </si>
  <si>
    <t>ARRENDAMIENTO DE CÁMARAS DE VIDEOVIGILANCIA PARA LAS FIESTAS PATRONALES</t>
  </si>
  <si>
    <t>ADTEL SISTEMAS DE TELECOMUNICACIÓN, S.L.</t>
  </si>
  <si>
    <t>https://contrataciondelestado.es/wps/poc?uri=deeplink:detalle_licitacion&amp;idEvl=Lmfh%2BOxG3NScTfjQf3USOg%3D%3D</t>
  </si>
  <si>
    <t>2025/PASA/011</t>
  </si>
  <si>
    <t>SUMINISTRO DE MATERIAL INSTRUMENTAL PARA LA ESCUELA MUNICIPAL DE MÚSICA Y DANZA</t>
  </si>
  <si>
    <t>https://contrataciondelestado.es/wps/poc?uri=deeplink:detalle_licitacion&amp;idEvl=xh6CfVy71Wa8ebB%2FXTwy0A%3D%3Dç</t>
  </si>
  <si>
    <t>2025/PASA/012
Lote 1</t>
  </si>
  <si>
    <t>SUMINISTRO DE MATERIAL DE SEÑALIZACIÓN Y ELEMENTOS DE BALIZAMIENTO PARA POLICÍA MUNICIPAL- Lote 1: Conos</t>
  </si>
  <si>
    <t>S21 SEÑALIZACION, S.L.</t>
  </si>
  <si>
    <t>https://contrataciondelestado.es/wps/poc?uri=deeplink:detalle_licitacion&amp;idEvl=HPbzJfQcrPFq1DdmE7eaXg%3D%3D</t>
  </si>
  <si>
    <t>2025/PASA/012
Lote 2</t>
  </si>
  <si>
    <t>SUMINISTRO DE MATERIAL DE SEÑALIZACIÓN Y ELEMENTOS DE BALIZAMIENTO PARA POLICÍA MUNICIPAL- Lote 2: Cinta de balizamiento policial</t>
  </si>
  <si>
    <t>DVIAL TRAFFIC AND HUMAN SAFETY S.L.U.</t>
  </si>
  <si>
    <t>2025/PASA/012
Lote 3</t>
  </si>
  <si>
    <t>SUMINISTRO DE MATERIAL DE SEÑALIZACIÓN Y ELEMENTOS DE BALIZAMIENTO PARA POLICÍA MUNICIPAL- Lote 3: Señalización homologada</t>
  </si>
  <si>
    <t>API MOVILIDAD, S.A.</t>
  </si>
  <si>
    <t>2025/PASA/012
Lote 4</t>
  </si>
  <si>
    <t>SUMINISTRO DE MATERIAL DE SEÑALIZACIÓN Y ELEMENTOS DE BALIZAMIENTO PARA POLICÍA MUNICIPAL- Lote 4: Balizas luminosas de seguridad</t>
  </si>
  <si>
    <t>DBLUX SIGNAL SYSTEMS S.L.</t>
  </si>
  <si>
    <t>2025/PASA/013 Lotes 1 y 2</t>
  </si>
  <si>
    <t>ALQUILER Y MONTAJE DE MOBILIARIO PARA EVENTOS DE APOYO AL COMERCIO DE LA CONCEJALÍA DE COMERCIO, CONSUMO, EMPLEO, DESARROLLO EMPRESARIAL Y ATENCIÓN AL CIUDADANO</t>
  </si>
  <si>
    <t>IKEBANA ANIMACIÓN Y OCIO, S.L.</t>
  </si>
  <si>
    <t>L1: 36.953,40 €
L2: 15.252,00 €</t>
  </si>
  <si>
    <t>https://contrataciondelestado.es/wps/poc?uri=deeplink:detalle_licitacion&amp;idEvl=tJH9fXxn6Oj%2Fa9DgO%2BoYKQ%3D%3D</t>
  </si>
  <si>
    <t>2025/PASA/016</t>
  </si>
  <si>
    <t>SUMINISTRO DE PRODUCTOS DE DROGUERÍA Y LIMPIEZA</t>
  </si>
  <si>
    <t>EURODEL HARPAS, S.L.,</t>
  </si>
  <si>
    <t>https://contrataciondelestado.es/wps/poc?uri=deeplink:detalle_licitacion&amp;idEvl=WRPnyA69FqOP66GS%2BONYvQ%3D%3D</t>
  </si>
  <si>
    <t>2025/PASA/018</t>
  </si>
  <si>
    <t>SUMINISTRO DE ORDENADORES PORTÁTILES</t>
  </si>
  <si>
    <t>INFORMÁTICA TÉCNICA GRANADA, S.L.</t>
  </si>
  <si>
    <t>https://contrataciondelestado.es/wps/poc?uri=deeplink:detalle_licitacion&amp;idEvl=EovTlf1LtUGqb7rCcv76BA%3D%3D</t>
  </si>
  <si>
    <t>2025/PASA/021</t>
  </si>
  <si>
    <t>ALQUILER DE ASEOS QUÍMICOS PORTÁTILES PARA ESPECTÁCULOS Y ACTIVIDADES DE FIESTAS</t>
  </si>
  <si>
    <t>ECO W. C. SOCIEDAD LIMITADA</t>
  </si>
  <si>
    <t>https://contrataciondelestado.es/wps/poc?uri=deeplink:detalle_licitacion&amp;idEvl=Wv21hfIPljw3vLk2DU2Ddg%3D%3D</t>
  </si>
  <si>
    <t>2025/PASA/008
Lote 1</t>
  </si>
  <si>
    <t>SUMINISTRO DE AGUA EMBOTELLADA SIN GAS. Lote 1 Suministro de agua embotellada de 33 cl</t>
  </si>
  <si>
    <t>ABIERTO SIMPLIFICADO ABREVIDADO</t>
  </si>
  <si>
    <t>REPRESENTACIONES MAYORAL, S.A.</t>
  </si>
  <si>
    <t>https://contrataciondelestado.es/wps/poc?uri=deeplink:detalle_licitacion&amp;idEvl=9ivwec%2FyqvBLAIVZdUs8KA%3D%3D</t>
  </si>
  <si>
    <t>2025/PASA/008
Lote 2</t>
  </si>
  <si>
    <t>SUMINISTRO DE AGUA EMBOTELLADA SIN GAS-Lote 2 Suministro de dispensador de agua en botella con capacidad máxima de 20 litros y vasos biodegradables de cartón con una capacidad mínima de 200 ml</t>
  </si>
  <si>
    <t>CULLIGAN WATER SPAIN, S.L</t>
  </si>
  <si>
    <t>2025/CB/014</t>
  </si>
  <si>
    <t>SUMINISTRO DE ELECTRICIDAD EN ALTA Y BAJA TENSIÓN PARA ALUMBRADO PÚBLICO Y DEPENDENCIAS MUNICIPALES</t>
  </si>
  <si>
    <t>20/03/2025</t>
  </si>
  <si>
    <t>IBERDROLA CLIENTES, S.A.U.</t>
  </si>
  <si>
    <t>5.420.000,00 €</t>
  </si>
  <si>
    <t>https://contrataciondelestado.es/wps/poc?uri=deeplink:detalle_licitacion&amp;idEvl=rgPRtQn9xQm8ebB%2FXTwy0A%3D%3D</t>
  </si>
  <si>
    <t>2025/CB/015</t>
  </si>
  <si>
    <t>SUMINISTRO DE GAS NATURAL PARA LOS EDIFICIOS MUNICIPALES DEL AYUNTAMIENTO DE POZUELO DE ALARCÓN</t>
  </si>
  <si>
    <t>GAS NATURAL COMERCIALIZADORA, S.A..</t>
  </si>
  <si>
    <t>https://contrataciondelestado.es/wps/poc?uri=deeplink:detalle_licitacion&amp;idEvl=pIF4QpIXMrP9pbnDwlaUlg%3D%3D</t>
  </si>
  <si>
    <t>2025/CB/055</t>
  </si>
  <si>
    <t>SUMINISTRO DE ESPECIES VEGETALES PARA LA REFORESTACIÓN “APADRINA UN ÁRBOL</t>
  </si>
  <si>
    <t>EL EJIDILLO VIVEROS INTEGRALES S.L.</t>
  </si>
  <si>
    <t>https://contrataciondelestado.es/wps/poc?uri=deeplink:detalle_licitacion&amp;idEvl=8O2QUvpKCxUS7pcxhTeWOg%3D%3D</t>
  </si>
  <si>
    <t>2025/CB/056</t>
  </si>
  <si>
    <t>CONTRATO BASADO PARA SUMINISTRO DE ESPECIES VEGETALES PARA LA REFORESTACIÓN</t>
  </si>
  <si>
    <t>https://contrataciondelestado.es/wps/poc?uri=deeplink:detalle_licitacion&amp;idEvl=QgtsynK7uS1q1DdmE7eaXg%3D%3D</t>
  </si>
  <si>
    <t>2025/NSIN/015</t>
  </si>
  <si>
    <t>SUMINISTRO DE LA APP MUNICIPAL EN MODALIDAD SAAS</t>
  </si>
  <si>
    <t>EAGORA ALGORITME DEL CANVI, S.L.U.</t>
  </si>
  <si>
    <t>https://contrataciondelestado.es/wps/poc?uri=deeplink:detalle_licitacion&amp;idEvl=L3SmErgbkQhLAIVZdUs8KA%3D%3D</t>
  </si>
  <si>
    <t>2025/NSIN/019</t>
  </si>
  <si>
    <t>ALQUILER DE LAS CARROZAS DE LA CABALGATA DE REYES PARA LA CAMPAÑA DE NAVIDAD</t>
  </si>
  <si>
    <t>TROMPECOCO, S.L.</t>
  </si>
  <si>
    <t>https://contrataciondelestado.es/wps/poc?uri=deeplink:detalle_licitacion&amp;idEvl=7FZi4qvAn1HzAq95uGTrDQ%3D%3D</t>
  </si>
  <si>
    <t xml:space="preserve">INFORMACIÓN DE LOS CONTRATOS </t>
  </si>
  <si>
    <t>2024/PA/006
Lote 1</t>
  </si>
  <si>
    <t>CONSTITUCION DE DERECHOS DE SUPERFICIE SOBRE PARCELAS DE NATURALEZA PATRIMONIAL PARA CONSTRUCCION Y EXPLOTACION DE VIVIENDAS DESTINADAS A ALQUILER ASEQUIBLE</t>
  </si>
  <si>
    <t>PATRIMONIAL</t>
  </si>
  <si>
    <t>15/05/2024</t>
  </si>
  <si>
    <t>INMO REAL ESTATE, S.L.</t>
  </si>
  <si>
    <t>1.648.020,00 €</t>
  </si>
  <si>
    <t>10/03/2025</t>
  </si>
  <si>
    <t>https://contrataciondelestado.es/wps/poc?uri=deeplink:detalle_licitacion&amp;idEvl=NFDpQJSvEumFlFRHfEzEaw%3D%3D</t>
  </si>
  <si>
    <t>2024/PA/006
Lote 2</t>
  </si>
  <si>
    <t>FUNDACIO PRIVADA SALAS PER L´ACCESIBILITAT</t>
  </si>
  <si>
    <t>1.119.250,00 €</t>
  </si>
  <si>
    <t>29/01/2025</t>
  </si>
  <si>
    <t>2024/PA/007 
Lote 1</t>
  </si>
  <si>
    <t>CONCESIÓN DEMANIAL SOBRE PARCELAS MUNICIPALES PARA CONSTRUCCIÓN Y EXPLOTACIÓN DE VIVIENDAS DE PROTECCIÓN PÚBLICA DE PRECIO LIMITADO DESTINADAS A ARRENDAMIENTO.</t>
  </si>
  <si>
    <t>----</t>
  </si>
  <si>
    <t>2024/PA/007
Lote 2</t>
  </si>
  <si>
    <t>PECSA INMO, S.L. (CONCESION ARGENTINA S.A.)</t>
  </si>
  <si>
    <t>5,45%</t>
  </si>
  <si>
    <t>22/01/2025</t>
  </si>
  <si>
    <t>https://contrataciondelestado.es/wps/poc?uri=deeplink:detalle_licitacion&amp;idEvl=qOngDZ2bpXJPpzdqOdhuWg%3D%3D</t>
  </si>
  <si>
    <t>2024/PA/034 
Lote 12 (B2)</t>
  </si>
  <si>
    <t>ENAJENACIÓN MEDIANTE SUBASTA DE UN TOTAL DE 68 PARCELAS AGRUPADAS EN LOTES PERTENECIENTES AL PATRIMONIO MUNICIPAL DEL SUELO</t>
  </si>
  <si>
    <t>13/11/2024</t>
  </si>
  <si>
    <t>LARVIN, S.A.</t>
  </si>
  <si>
    <t>9.927.310,69 €</t>
  </si>
  <si>
    <t>16/05/2025</t>
  </si>
  <si>
    <t>2024/PA/034
Lote 1</t>
  </si>
  <si>
    <t>CORTEGADA HOMES, S.L,</t>
  </si>
  <si>
    <t>2.231.240,00 €</t>
  </si>
  <si>
    <t>10/04/2025</t>
  </si>
  <si>
    <t>https://contrataciondelestado.es/wps/poc?uri=deeplink:detalle_licitacion&amp;idEvl=U%2FXKnY4zs0wZDGvgaZEVxQ%3D%3D</t>
  </si>
  <si>
    <t>2024/PA/034
LOTE 2</t>
  </si>
  <si>
    <t>ALAMEDA DE RIVAS, S.L.,</t>
  </si>
  <si>
    <t>3.043.150,00 €</t>
  </si>
  <si>
    <t>2024/PA/034
Lote 3</t>
  </si>
  <si>
    <t>ONZA HOMES, S.L.,</t>
  </si>
  <si>
    <t>5.020.290,00 €</t>
  </si>
  <si>
    <t>2024/PA/034
Lotes 10 (A) Y 11 (B1)</t>
  </si>
  <si>
    <t>NAIZ, S.A.</t>
  </si>
  <si>
    <t>L 10(A): 9.203.260,50 €
L 11(B1): 8.933.707,59 €</t>
  </si>
  <si>
    <t>2024/PA/034
Lotes 4 Y 5</t>
  </si>
  <si>
    <t>EIC PROMOCIONES POZUELO, S.L.</t>
  </si>
  <si>
    <t>L 4: 1.155.587,38 €
L 5: 1.234.505,53 €</t>
  </si>
  <si>
    <t>2024/PA/034
Lotes 7 Y 8</t>
  </si>
  <si>
    <t>MAC SOCIEDAD FAMILIAR UNIPERSONAL</t>
  </si>
  <si>
    <t xml:space="preserve">L 7: 848.210,00 €
L 8: 848.210,00 € </t>
  </si>
  <si>
    <t>CONTRATOS FORMALIZADOS · RESUMEN POR ADJUDICATARIO</t>
  </si>
  <si>
    <t>Consulta agrupada y vinculada a la hoja de detalle publicada</t>
  </si>
  <si>
    <t>N.º CONTRATOS</t>
  </si>
  <si>
    <t>IMPORTE AGREGADO*</t>
  </si>
  <si>
    <t>EXPEDIENTES</t>
  </si>
  <si>
    <t>CONSULTAR CONTRATOS</t>
  </si>
  <si>
    <t>OBSERVACIÓN</t>
  </si>
  <si>
    <t>2025/PA/032 · Lote 1; 2025/PASA/020 · Lote 1</t>
  </si>
  <si>
    <t>ALAMEDA DE RIVAS, S.L.</t>
  </si>
  <si>
    <t>2024/PA/034 · LOTE 2</t>
  </si>
  <si>
    <t>2025/PA/024; 2025/PASA/012 · Lote 3</t>
  </si>
  <si>
    <t>2025/PA/016 · Lotes 1 Y 2</t>
  </si>
  <si>
    <t>2025/PA/019 · Lotes 1 y 2</t>
  </si>
  <si>
    <t>2024/PA/038 · Lote 1; 2025/PA/023</t>
  </si>
  <si>
    <t>CAYCO GRUPO EMPRESARIAL, S.L.</t>
  </si>
  <si>
    <t>2025/PASA/001 · Lote 3</t>
  </si>
  <si>
    <t>CENTROMIPC, S.L.</t>
  </si>
  <si>
    <t>2024/NSIN/011; 2025/NSIN/005; 2025/NSIN/018</t>
  </si>
  <si>
    <t>2025/PA/006 · Lote 7</t>
  </si>
  <si>
    <t>2025/PA/006 · Lote 6</t>
  </si>
  <si>
    <t>CORTEGADA HOMES, S.L</t>
  </si>
  <si>
    <t>2024/PA/034 · Lote 1</t>
  </si>
  <si>
    <t>2025/PASA/008 · Lote 2</t>
  </si>
  <si>
    <t>2025/PA/007  · Lote 2</t>
  </si>
  <si>
    <t>2025/PASA/012 · Lote 4</t>
  </si>
  <si>
    <t>2024/PA/025  · Lote 5</t>
  </si>
  <si>
    <t>2025/NSIN/004; 2025/NSIN/007</t>
  </si>
  <si>
    <t>2025/PASA/012 · Lote 2</t>
  </si>
  <si>
    <t>2024/PA/034 · Lotes 4 Y 5</t>
  </si>
  <si>
    <t>2025/CB/055; 2025/CB/056</t>
  </si>
  <si>
    <t>2025/PA/032 · Lote 2</t>
  </si>
  <si>
    <t>2024/CB/024; 2025/CB/002; 2025/CB/010; 2025/CB/011; 2025/CB/018; 2025/CB/019; 2025/CB/020; 2025/CB/029; 2025/CB/032; 2025/CB/033; 2025/CB/034; 2025/CB/038; 2025/CB/040; 2025/CB/042; 2025/CB/044</t>
  </si>
  <si>
    <t>2025/PAS/002; 2025/PAS/003; 2025/PA/031</t>
  </si>
  <si>
    <t>EURODEL HARPAS, S.L.</t>
  </si>
  <si>
    <t>2024/PAS/005 · Lote 3</t>
  </si>
  <si>
    <t>2025/PASA/004 · Lote 2</t>
  </si>
  <si>
    <t>2025/PAS/024 · Lote 2</t>
  </si>
  <si>
    <t>2025/PA/022 · Lote 1</t>
  </si>
  <si>
    <t>2024/PA/006 · Lote 2; 2024/PA/007  · Lote 1</t>
  </si>
  <si>
    <t>Importe no agregable en todos los registros</t>
  </si>
  <si>
    <t>2025/PA/012  · Lotes 1 y 2</t>
  </si>
  <si>
    <t>2025/PA/006 · Lotes 1, 3, 4, 5 Y 8</t>
  </si>
  <si>
    <t>2024/PA/038 · Lote 2</t>
  </si>
  <si>
    <t>2024/CB/027; 2025/CB/021; 2025/CB/023; 2025/CB/024; 2025/CB/026; 2025/CB/028; 2025/CB/030; 2025/CB/035; 2025/CB/036; 2025/CB/039; 2025/CB/041; 2025/CB/045</t>
  </si>
  <si>
    <t>2024/PA/006 · Lote 1</t>
  </si>
  <si>
    <t>2025/PASA/001 ·  Lote 1</t>
  </si>
  <si>
    <t>2024/PA/025  · Lote 7</t>
  </si>
  <si>
    <t>ITWISE TECHNOLOGY SERVICES S L.</t>
  </si>
  <si>
    <t>2025/PA/014 · Lote 3</t>
  </si>
  <si>
    <t>2025/PAS/013 · Lote 1</t>
  </si>
  <si>
    <t>2025/PA/014 · Lotes 1 Y 2</t>
  </si>
  <si>
    <t>2024/PA/034  · Lote 12 (B2)</t>
  </si>
  <si>
    <t>2024/PA/034 · Lotes 7 Y 8</t>
  </si>
  <si>
    <t>2025/PAS/023  · Lote 2</t>
  </si>
  <si>
    <t>2025/PAS/023  · Lote 1</t>
  </si>
  <si>
    <t>2024/PA/021  · Lotes 1, 2 y 3</t>
  </si>
  <si>
    <t>2025/PA/013  · Lote 2; 2025/PA/032 · Lote 3</t>
  </si>
  <si>
    <t>2025/PASA/004 · Lote 3</t>
  </si>
  <si>
    <t>2025/PA/013  · Lote 1; 2025/PASA/020 · Lote 2</t>
  </si>
  <si>
    <t>2025/PA/007  · Lote 1</t>
  </si>
  <si>
    <t>2024/PA/034 · Lotes 10 (A) Y 11 (B1)</t>
  </si>
  <si>
    <t>2025/PA/015; 2025/CB/043; 2025/CB/048</t>
  </si>
  <si>
    <t>ONZA HOMES, S.L.</t>
  </si>
  <si>
    <t>2024/PA/034 · Lote 3</t>
  </si>
  <si>
    <t>2025/NSIN/001; 2025/NSIN/012</t>
  </si>
  <si>
    <t>2025/PAS/013 · Lote 3</t>
  </si>
  <si>
    <t>2025/PAS/013 · Lote 2</t>
  </si>
  <si>
    <t>2024/PA/038 · Lote 3</t>
  </si>
  <si>
    <t>2024/PA/007 · Lote 2</t>
  </si>
  <si>
    <t>2025/PA/011  · Lotes 1, 2, 3 y 4</t>
  </si>
  <si>
    <t>PLATOS Y TAPAS, S.L.U.</t>
  </si>
  <si>
    <t>2025/PASA/004 · Lote 1</t>
  </si>
  <si>
    <t>2025/NSIN/009; 2025/NSIN/010; 2025/NSIN/011</t>
  </si>
  <si>
    <t>PROACTIVA FORMACIÓN, S.L.</t>
  </si>
  <si>
    <t>2024/CB/022; 2025/CB/027</t>
  </si>
  <si>
    <t>2025/PA/007  · Lote 3; 2025/PA/013  · Lote 3</t>
  </si>
  <si>
    <t>2025/PAS/024 · LOTE 1</t>
  </si>
  <si>
    <t>2025/CB/003; 2025/CB/004; 2025/CB/005; 2025/CB/006; 2025/CB/007; 2025/CB/008; 2025/CB/009; 2025/CB/012; 2025/CB/013; 2025/CB/017; 2025/CB/022; 2025/CB/025; 2025/CB/031</t>
  </si>
  <si>
    <t>PROLISER, S.L.</t>
  </si>
  <si>
    <t>2025/PA/022 · Lote 2</t>
  </si>
  <si>
    <t>2025/PASA/008 · Lote 1</t>
  </si>
  <si>
    <t>RH GESTION Y FORMACION, S.A.</t>
  </si>
  <si>
    <t>2025/PASA/012 · Lote 1</t>
  </si>
  <si>
    <t>2025/PAS/010 · Lote 2</t>
  </si>
  <si>
    <t>2025/PASA/003 Lotes 1, 2 y 3; 2025/PASA/011</t>
  </si>
  <si>
    <t>2024/PA/025  · Lote 3</t>
  </si>
  <si>
    <t>2024/PA/025  · Lotes 1, 2 y 6</t>
  </si>
  <si>
    <t>SPEZIAL OUTSOURCING SERVICIOS, S.L.</t>
  </si>
  <si>
    <t>2025/PA/006 · Lote 2</t>
  </si>
  <si>
    <t>TBF ESPACIOS VERDES, S.L</t>
  </si>
  <si>
    <t>2025/PA/019  · Lote 3</t>
  </si>
  <si>
    <t>2024/PA/022; 2025/PAS/005</t>
  </si>
  <si>
    <t>2024/PAS/005 · Lotes 1 y 2</t>
  </si>
  <si>
    <t>2025/CB/049; 2025/CB/053</t>
  </si>
  <si>
    <t>* El importe agregado suma únicamente cuantías numéricas o importes en euros. Se excluyen porcentajes, comisiones, “Varios” y registros sin cuantía agregable.</t>
  </si>
  <si>
    <t>DETALLE AGRUPADO POR ADJUDICATARIO</t>
  </si>
  <si>
    <t>EXPEDIENTE</t>
  </si>
  <si>
    <t>PRECIO ADJUDICACIÓN</t>
  </si>
  <si>
    <t>FORMALIZACIÓN</t>
  </si>
  <si>
    <t>ENLACES</t>
  </si>
  <si>
    <t>SERVICIO DE ORGANIZACIÓN DEL ACTO INSTITUCIONAL DE HOMENAJE A LA BANDERA</t>
  </si>
  <si>
    <t>SERVICIO DE IMPRESIÓN, MONTAJE, MANTENIMIENTO Y DESMONTAJE DE LONAS Y BANDEROLAS Y MAQUETACIÓN, PRODUCCIÓN Y, EN SU CASO, COLOCACIÓN DE MATERIAL GRÁFICO EN ESPACIOS CON PROGRAMACIÓN DE CULTURA</t>
  </si>
  <si>
    <t>L 7: 848.210,00 €
L 8: 848.210,00 €</t>
  </si>
  <si>
    <t>SERVICIO DE IMPRESIÓN, MONTAJE, MANTENIMIENTO Y DESMONTAJE DE LONAS Y BANDEROLAS Y MAQUETACIÓN, PRODUCCIÓN Y, EN SU CASO, COLOCACIÓN DE MATERIAL GRÁFICO EN ESPACIOS CON PROGRAMACIÓN DE CULTURA-Lote 2</t>
  </si>
  <si>
    <t>SUMINISTRO, USO DE LICENCIAS DE PRODUCTOS MICROSOFT Y SOPORTE (SOFTWARE ASSURANCE)</t>
  </si>
  <si>
    <t>CÁLCULO DEL PERIODO MEDIO DE TRAMITACIÓN · CONTRATOS FORMALIZADOS 2025</t>
  </si>
  <si>
    <t>Cómputo entre la fecha de aprobación del expediente y la fecha de formalización del contrato.</t>
  </si>
  <si>
    <t>PERIODO MEDIO</t>
  </si>
  <si>
    <t>PERIODO ANALIZADO</t>
  </si>
  <si>
    <t>FECHAS DE CÓMPUTO</t>
  </si>
  <si>
    <t>ANUALIDAD 2025</t>
  </si>
  <si>
    <t>Inicio: aprobación del expediente
Fin: formalización del contrato</t>
  </si>
  <si>
    <t>CRITERIO DE CÁLCULO</t>
  </si>
  <si>
    <t>Se calcula el número de días naturales transcurridos entre la fecha de aprobación del expediente (inicio) y la fecha de formalización del contrato (fin). La media corresponde a la media aritmética de los expedientes con ambas fechas válidas y coherentes formalizados durante la anualidad 2025.</t>
  </si>
  <si>
    <t>Fuente: hoja «Contratos 2025» del propio libro.</t>
  </si>
  <si>
    <t>FECHA INICIO</t>
  </si>
  <si>
    <t>FECHA FIN</t>
  </si>
  <si>
    <t>FILA ORIGEN</t>
  </si>
  <si>
    <t>DÍAS NATURALES</t>
  </si>
  <si>
    <t>RESUMEN POR PROCEDIMIENTO</t>
  </si>
  <si>
    <t>N.º EXPEDIENTES</t>
  </si>
  <si>
    <t>MEDIA (DÍAS)</t>
  </si>
  <si>
    <t>MÍN./MÁX. (DÍAS)</t>
  </si>
  <si>
    <t>21 / 310</t>
  </si>
  <si>
    <t>34 / 160</t>
  </si>
  <si>
    <t>30 / 142</t>
  </si>
  <si>
    <t>129 / 129</t>
  </si>
  <si>
    <t>0 / 84</t>
  </si>
  <si>
    <t>9 / 89</t>
  </si>
  <si>
    <t>0 /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</si>
</sst>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164" formatCode="#,##0.00\ &quot;€&quot;"/>
    <numFmt numFmtId="165" formatCode="#,##0.00\ [$€-C0A]"/>
    <numFmt numFmtId="166" formatCode="0.0\ &quot;días&quot;"/>
    <numFmt numFmtId="167" formatCode="0.0"/>
  </numFmts>
  <fonts count="14" x14ac:knownFonts="1">
    <font>
      <sz val="11"/>
      <color theme="1"/>
      <name val="Calibri"/>
    </font>
    <font>
      <sz val="11"/>
      <color theme="10"/>
      <name val="Calibri"/>
    </font>
    <font>
      <b/>
      <sz val="11"/>
      <color theme="0"/>
      <name val="Calibri"/>
    </font>
    <font>
      <b/>
      <sz val="15"/>
      <color rgb="FFFFFFFF"/>
      <name val="Calibri"/>
    </font>
    <font>
      <i/>
      <sz val="11"/>
      <color rgb="FF1F1F1F"/>
      <name val="Calibri"/>
    </font>
    <font>
      <b/>
      <sz val="11"/>
      <color rgb="FFFFFFFF"/>
      <name val="Calibri"/>
    </font>
    <font>
      <i/>
      <sz val="9"/>
      <color rgb="FF666666"/>
      <name val="Calibri"/>
    </font>
    <font>
      <b/>
      <sz val="12"/>
      <color rgb="FFFFFFFF"/>
      <name val="Calibri"/>
    </font>
    <font>
      <b/>
      <sz val="11"/>
      <color rgb="FF1F4E78"/>
      <name val="Calibri"/>
    </font>
    <font>
      <i/>
      <sz val="10"/>
      <color rgb="FF666666"/>
      <name val="Calibri"/>
    </font>
    <font>
      <b/>
      <sz val="18"/>
      <color rgb="FF1F4E78"/>
      <name val="Calibri"/>
    </font>
    <font>
      <sz val="10"/>
      <color rgb="FF1F1F1F"/>
      <name val="Calibri"/>
    </font>
    <font>
      <u/>
      <sz val="11"/>
      <color rgb="FF0563C1"/>
      <name val="Calibri"/>
    </font>
    <font>
      <b/>
      <sz val="14"/>
      <color rgb="FF1F4E78"/>
      <name val="Calibri"/>
    </font>
  </fonts>
  <fills count="12">
    <fill>
      <patternFill patternType="none"/>
    </fill>
    <fill>
      <patternFill patternType="gray125"/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/>
      </patternFill>
    </fill>
    <fill>
      <patternFill patternType="solid">
        <fgColor rgb="FF2F75B5"/>
      </patternFill>
    </fill>
    <fill>
      <patternFill patternType="solid">
        <fgColor rgb="FFF5F9FD"/>
      </patternFill>
    </fill>
    <fill>
      <patternFill patternType="solid">
        <fgColor rgb="FF1F4E78"/>
      </patternFill>
    </fill>
    <fill>
      <patternFill patternType="solid">
        <fgColor rgb="FF5B9BD5"/>
      </patternFill>
    </fill>
    <fill>
      <patternFill patternType="solid">
        <fgColor rgb="FFD9EAF7"/>
      </patternFill>
    </fill>
    <fill>
      <patternFill patternType="solid">
        <fgColor rgb="FFF2F2F2"/>
      </patternFill>
    </fill>
    <fill>
      <patternFill patternType="solid">
        <fgColor rgb="FFF7FBFF"/>
      </patternFill>
    </fill>
  </fills>
  <borders count="4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8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 wrapText="1"/>
    </xf>
    <xf numFmtId="164" fontId="0" fillId="0" borderId="0" xfId="0" applyNumberFormat="1" applyAlignment="1">
      <alignment horizontal="right" vertical="center"/>
    </xf>
    <xf numFmtId="0" fontId="1" fillId="0" borderId="0" xfId="1" applyAlignment="1">
      <alignment vertical="center"/>
    </xf>
    <xf numFmtId="0" fontId="1" fillId="3" borderId="0" xfId="1" applyFill="1" applyAlignment="1">
      <alignment vertical="center"/>
    </xf>
    <xf numFmtId="14" fontId="0" fillId="3" borderId="0" xfId="0" applyNumberFormat="1" applyFill="1" applyAlignment="1">
      <alignment horizontal="center" vertical="center"/>
    </xf>
    <xf numFmtId="0" fontId="1" fillId="0" borderId="0" xfId="2" applyAlignment="1">
      <alignment vertical="center"/>
    </xf>
    <xf numFmtId="0" fontId="1" fillId="3" borderId="0" xfId="2" applyFill="1" applyAlignment="1">
      <alignment horizontal="left" vertical="center"/>
    </xf>
    <xf numFmtId="0" fontId="1" fillId="2" borderId="0" xfId="2" applyFill="1" applyAlignment="1">
      <alignment vertical="center"/>
    </xf>
    <xf numFmtId="0" fontId="1" fillId="3" borderId="0" xfId="2" applyFill="1" applyAlignment="1">
      <alignment vertical="center"/>
    </xf>
    <xf numFmtId="0" fontId="0" fillId="2" borderId="0" xfId="0" applyFill="1" applyAlignment="1">
      <alignment horizontal="left" vertical="center"/>
    </xf>
    <xf numFmtId="49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horizontal="right" vertical="center"/>
    </xf>
    <xf numFmtId="8" fontId="0" fillId="0" borderId="1" xfId="0" applyNumberFormat="1" applyBorder="1" applyAlignment="1">
      <alignment horizontal="right" vertical="center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5" fillId="5" borderId="0" xfId="0" applyFont="1" applyFill="1" applyAlignment="1">
      <alignment horizontal="center" vertical="center" wrapText="1"/>
    </xf>
    <xf numFmtId="0" fontId="0" fillId="0" borderId="0" xfId="0" applyAlignment="1">
      <alignment vertical="top" wrapText="1"/>
    </xf>
    <xf numFmtId="1" fontId="0" fillId="0" borderId="0" xfId="0" applyNumberFormat="1" applyAlignment="1">
      <alignment vertical="top" wrapText="1"/>
    </xf>
    <xf numFmtId="165" fontId="0" fillId="0" borderId="0" xfId="0" applyNumberFormat="1" applyAlignment="1">
      <alignment vertical="top" wrapText="1"/>
    </xf>
    <xf numFmtId="0" fontId="0" fillId="6" borderId="0" xfId="0" applyFill="1" applyAlignment="1">
      <alignment vertical="top" wrapText="1"/>
    </xf>
    <xf numFmtId="1" fontId="0" fillId="6" borderId="0" xfId="0" applyNumberFormat="1" applyFill="1" applyAlignment="1">
      <alignment vertical="top" wrapText="1"/>
    </xf>
    <xf numFmtId="165" fontId="0" fillId="6" borderId="0" xfId="0" applyNumberFormat="1" applyFill="1" applyAlignment="1">
      <alignment vertical="top" wrapText="1"/>
    </xf>
    <xf numFmtId="0" fontId="0" fillId="11" borderId="0" xfId="0" applyFill="1" applyAlignment="1">
      <alignment vertical="top"/>
    </xf>
    <xf numFmtId="0" fontId="0" fillId="11" borderId="0" xfId="0" applyFill="1" applyAlignment="1">
      <alignment vertical="top" wrapText="1"/>
    </xf>
    <xf numFmtId="14" fontId="0" fillId="11" borderId="0" xfId="0" applyNumberFormat="1" applyFill="1" applyAlignment="1">
      <alignment vertical="top"/>
    </xf>
    <xf numFmtId="1" fontId="0" fillId="11" borderId="0" xfId="0" applyNumberFormat="1" applyFill="1" applyAlignment="1">
      <alignment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0" fontId="0" fillId="11" borderId="0" xfId="0" applyFill="1"/>
    <xf numFmtId="167" fontId="0" fillId="11" borderId="0" xfId="0" applyNumberFormat="1" applyFill="1"/>
    <xf numFmtId="167" fontId="0" fillId="0" borderId="0" xfId="0" applyNumberFormat="1"/>
    <xf numFmtId="0" fontId="8" fillId="9" borderId="0" xfId="0" applyFont="1" applyFill="1" applyAlignment="1">
      <alignment wrapText="1"/>
    </xf>
    <xf numFmtId="0" fontId="12" fillId="9" borderId="0" xfId="0" applyFont="1" applyFill="1" applyAlignment="1">
      <alignment wrapText="1"/>
    </xf>
    <xf numFmtId="0" fontId="5" fillId="8" borderId="0" xfId="0" applyFont="1" applyFill="1" applyAlignment="1">
      <alignment horizontal="center" wrapText="1"/>
    </xf>
    <xf numFmtId="0" fontId="5" fillId="8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/>
    </xf>
    <xf numFmtId="0" fontId="5" fillId="7" borderId="0" xfId="0" applyFont="1" applyFill="1"/>
    <xf numFmtId="0" fontId="0" fillId="0" borderId="0" xfId="0"/>
    <xf numFmtId="0" fontId="11" fillId="10" borderId="0" xfId="0" applyFont="1" applyFill="1" applyAlignment="1">
      <alignment vertical="top" wrapText="1"/>
    </xf>
    <xf numFmtId="0" fontId="3" fillId="7" borderId="0" xfId="0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 wrapText="1"/>
    </xf>
    <xf numFmtId="0" fontId="6" fillId="0" borderId="0" xfId="0" applyFont="1"/>
    <xf numFmtId="0" fontId="13" fillId="9" borderId="0" xfId="0" applyFont="1" applyFill="1" applyAlignment="1">
      <alignment horizontal="center" vertical="center"/>
    </xf>
    <xf numFmtId="166" fontId="10" fillId="9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8" borderId="0" xfId="0" applyFont="1" applyFill="1" applyAlignment="1">
      <alignment horizontal="center" vertical="center" wrapText="1"/>
    </xf>
    <xf numFmtId="0" fontId="7" fillId="7" borderId="0" xfId="0" applyFont="1" applyFill="1"/>
    <xf numFmtId="0" fontId="4" fillId="9" borderId="0" xfId="0" applyFont="1" applyFill="1"/>
    <xf numFmtId="0" fontId="3" fillId="7" borderId="0" xfId="0" applyFont="1" applyFill="1" applyAlignment="1">
      <alignment horizontal="left" vertical="center"/>
    </xf>
    <xf numFmtId="0" fontId="6" fillId="0" borderId="0" xfId="0" applyFont="1" applyAlignment="1">
      <alignment wrapText="1"/>
    </xf>
  </cellXfs>
  <cellStyles count="3">
    <cellStyle name="Hipervínculo" xfId="1" xr:uid="{00000000-0005-0000-0000-000001000000}"/>
    <cellStyle name="Hyperlink" xfId="2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Contratos" displayName="TablaContratos" ref="A1:I193">
  <autoFilter ref="A1:I193" xr:uid="{00000000-0009-0000-0100-000001000000}"/>
  <tableColumns count="9">
    <tableColumn id="1" xr3:uid="{00000000-0010-0000-0000-000001000000}" name="EXPTE."/>
    <tableColumn id="2" xr3:uid="{00000000-0010-0000-0000-000002000000}" name="OBJETO"/>
    <tableColumn id="8" xr3:uid="{00000000-0010-0000-0000-000008000000}" name="TIPO DE CONTRATO"/>
    <tableColumn id="3" xr3:uid="{00000000-0010-0000-0000-000003000000}" name="PROCEDIMIENTO"/>
    <tableColumn id="4" xr3:uid="{00000000-0010-0000-0000-000004000000}" name="APROBACIÓN DE EXPEDIENTE"/>
    <tableColumn id="5" xr3:uid="{00000000-0010-0000-0000-000005000000}" name="ADJUDICATARIO"/>
    <tableColumn id="6" xr3:uid="{00000000-0010-0000-0000-000006000000}" name="PRECIO-ADJ (IVA incluido)"/>
    <tableColumn id="7" xr3:uid="{00000000-0010-0000-0000-000007000000}" name="FORMALIZACIÓN CONTRATO"/>
    <tableColumn id="9" xr3:uid="{00000000-0010-0000-0000-000009000000}" name="INFORMACIÓN DE LOS CONTRATO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3" displayName="Tabla3" ref="A195:I206">
  <autoFilter ref="A195:I206" xr:uid="{00000000-0009-0000-0100-000002000000}"/>
  <tableColumns count="9">
    <tableColumn id="1" xr3:uid="{00000000-0010-0000-0100-000001000000}" name="EXPTE."/>
    <tableColumn id="2" xr3:uid="{00000000-0010-0000-0100-000002000000}" name="OBJETO"/>
    <tableColumn id="3" xr3:uid="{00000000-0010-0000-0100-000003000000}" name="TIPO DE CONTRATO"/>
    <tableColumn id="4" xr3:uid="{00000000-0010-0000-0100-000004000000}" name="PROCEDIMIENTO"/>
    <tableColumn id="5" xr3:uid="{00000000-0010-0000-0100-000005000000}" name="APROBACIÓN DE EXPEDIENTE"/>
    <tableColumn id="6" xr3:uid="{00000000-0010-0000-0100-000006000000}" name="ADJUDICATARIO"/>
    <tableColumn id="7" xr3:uid="{00000000-0010-0000-0100-000007000000}" name="PRECIO-ADJ (IVA incluido)"/>
    <tableColumn id="8" xr3:uid="{00000000-0010-0000-0100-000008000000}" name="FORMALIZACIÓN CONTRATO"/>
    <tableColumn id="9" xr3:uid="{00000000-0010-0000-0100-000009000000}" name="INFORMACIÓN DE LOS CONTRATOS 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ResumenAdjudicatarios" displayName="ResumenAdjudicatarios" ref="A4:F148">
  <tableColumns count="6">
    <tableColumn id="1" xr3:uid="{00000000-0010-0000-0200-000001000000}" name="ADJUDICATARIO"/>
    <tableColumn id="2" xr3:uid="{00000000-0010-0000-0200-000002000000}" name="N.º CONTRATOS"/>
    <tableColumn id="3" xr3:uid="{00000000-0010-0000-0200-000003000000}" name="IMPORTE AGREGADO*"/>
    <tableColumn id="4" xr3:uid="{00000000-0010-0000-0200-000004000000}" name="EXPEDIENTES"/>
    <tableColumn id="5" xr3:uid="{00000000-0010-0000-0200-000005000000}" name="CONSULTAR CONTRATOS"/>
    <tableColumn id="6" xr3:uid="{00000000-0010-0000-0200-000006000000}" name="OBSERVACIÓ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DetalleAgrupadoAdjudicatarios" displayName="DetalleAgrupadoAdjudicatarios" ref="A153:F356">
  <tableColumns count="6">
    <tableColumn id="1" xr3:uid="{00000000-0010-0000-0300-000001000000}" name="ADJUDICATARIO"/>
    <tableColumn id="2" xr3:uid="{00000000-0010-0000-0300-000002000000}" name="EXPEDIENTE"/>
    <tableColumn id="3" xr3:uid="{00000000-0010-0000-0300-000003000000}" name="OBJETO"/>
    <tableColumn id="4" xr3:uid="{00000000-0010-0000-0300-000004000000}" name="PRECIO ADJUDICACIÓN"/>
    <tableColumn id="5" xr3:uid="{00000000-0010-0000-0300-000005000000}" name="FORMALIZACIÓN"/>
    <tableColumn id="6" xr3:uid="{00000000-0010-0000-0300-000006000000}" name="ENLAC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6"/>
  <sheetViews>
    <sheetView tabSelected="1" zoomScaleNormal="100" zoomScaleSheetLayoutView="100" workbookViewId="0"/>
  </sheetViews>
  <sheetFormatPr baseColWidth="10" defaultColWidth="9.109375" defaultRowHeight="14.4" x14ac:dyDescent="0.3"/>
  <cols>
    <col min="1" max="1" width="18" style="1" customWidth="1"/>
    <col min="2" max="2" width="114.5546875" customWidth="1"/>
    <col min="3" max="3" width="26.88671875" style="8" customWidth="1"/>
    <col min="4" max="4" width="26.5546875" customWidth="1"/>
    <col min="5" max="5" width="26" style="9" customWidth="1"/>
    <col min="6" max="6" width="51" style="5" customWidth="1"/>
    <col min="7" max="7" width="25.33203125" customWidth="1"/>
    <col min="8" max="8" width="27" style="9" customWidth="1"/>
    <col min="9" max="9" width="121.88671875" style="1" customWidth="1"/>
    <col min="10" max="10" width="34.109375" customWidth="1"/>
    <col min="11" max="11" width="25" customWidth="1"/>
  </cols>
  <sheetData>
    <row r="1" spans="1:11" x14ac:dyDescent="0.3">
      <c r="A1" s="1" t="s">
        <v>0</v>
      </c>
      <c r="B1" s="5" t="s">
        <v>1</v>
      </c>
      <c r="C1" s="8" t="s">
        <v>2</v>
      </c>
      <c r="D1" t="s">
        <v>3</v>
      </c>
      <c r="E1" s="9" t="s">
        <v>4</v>
      </c>
      <c r="F1" s="5" t="s">
        <v>5</v>
      </c>
      <c r="G1" t="s">
        <v>6</v>
      </c>
      <c r="H1" s="9" t="s">
        <v>7</v>
      </c>
      <c r="I1" s="1" t="s">
        <v>8</v>
      </c>
      <c r="J1" s="40" t="s">
        <v>9</v>
      </c>
      <c r="K1" s="58" t="s">
        <v>10</v>
      </c>
    </row>
    <row r="2" spans="1:11" ht="28.95" customHeight="1" x14ac:dyDescent="0.3">
      <c r="A2" s="1" t="s">
        <v>11</v>
      </c>
      <c r="B2" s="2" t="s">
        <v>12</v>
      </c>
      <c r="C2" s="7" t="s">
        <v>13</v>
      </c>
      <c r="D2" s="7" t="s">
        <v>14</v>
      </c>
      <c r="E2" s="6" t="s">
        <v>15</v>
      </c>
      <c r="F2" s="2" t="s">
        <v>16</v>
      </c>
      <c r="G2" s="4" t="s">
        <v>17</v>
      </c>
      <c r="H2" s="6" t="s">
        <v>18</v>
      </c>
      <c r="I2" s="13" t="s">
        <v>19</v>
      </c>
      <c r="J2">
        <v>140.30000000000001</v>
      </c>
      <c r="K2" s="59" t="str">
        <f>HYPERLINK("#'Cálculo periodo medio'!A1","Ver cálculo del periodo medio")</f>
        <v>Ver cálculo del periodo medio</v>
      </c>
    </row>
    <row r="3" spans="1:11" x14ac:dyDescent="0.3">
      <c r="A3" s="2" t="s">
        <v>20</v>
      </c>
      <c r="B3" s="2" t="s">
        <v>21</v>
      </c>
      <c r="C3" s="7" t="s">
        <v>13</v>
      </c>
      <c r="D3" s="7" t="s">
        <v>14</v>
      </c>
      <c r="E3" s="10">
        <v>45896</v>
      </c>
      <c r="F3" s="2" t="s">
        <v>22</v>
      </c>
      <c r="G3" s="12"/>
      <c r="H3" s="10">
        <v>45975</v>
      </c>
      <c r="I3" s="16" t="s">
        <v>23</v>
      </c>
      <c r="J3">
        <v>140.30000000000001</v>
      </c>
    </row>
    <row r="4" spans="1:11" ht="28.95" customHeight="1" x14ac:dyDescent="0.3">
      <c r="A4" s="2" t="s">
        <v>24</v>
      </c>
      <c r="B4" s="2" t="s">
        <v>25</v>
      </c>
      <c r="C4" s="7" t="s">
        <v>26</v>
      </c>
      <c r="D4" s="7" t="s">
        <v>27</v>
      </c>
      <c r="E4" s="10">
        <v>45798</v>
      </c>
      <c r="F4" s="2" t="s">
        <v>28</v>
      </c>
      <c r="G4" s="12">
        <v>29862.05</v>
      </c>
      <c r="H4" s="10">
        <v>45881</v>
      </c>
      <c r="I4" s="16" t="s">
        <v>29</v>
      </c>
      <c r="J4">
        <v>73.400000000000006</v>
      </c>
    </row>
    <row r="5" spans="1:11" ht="28.95" customHeight="1" x14ac:dyDescent="0.3">
      <c r="A5" s="2" t="s">
        <v>30</v>
      </c>
      <c r="B5" s="2" t="s">
        <v>31</v>
      </c>
      <c r="C5" s="7" t="s">
        <v>32</v>
      </c>
      <c r="D5" s="7" t="s">
        <v>14</v>
      </c>
      <c r="E5" s="10">
        <v>45518</v>
      </c>
      <c r="F5" s="2" t="s">
        <v>33</v>
      </c>
      <c r="G5" s="12">
        <v>72405</v>
      </c>
      <c r="H5" s="10">
        <v>45828</v>
      </c>
      <c r="I5" s="16" t="s">
        <v>34</v>
      </c>
      <c r="J5">
        <v>140.30000000000001</v>
      </c>
    </row>
    <row r="6" spans="1:11" ht="28.95" customHeight="1" x14ac:dyDescent="0.3">
      <c r="A6" s="2" t="s">
        <v>35</v>
      </c>
      <c r="B6" s="2" t="s">
        <v>36</v>
      </c>
      <c r="C6" s="7" t="s">
        <v>32</v>
      </c>
      <c r="D6" s="7" t="s">
        <v>37</v>
      </c>
      <c r="E6" s="10">
        <v>45826</v>
      </c>
      <c r="F6" s="2" t="s">
        <v>38</v>
      </c>
      <c r="G6" s="12">
        <v>9680</v>
      </c>
      <c r="H6" s="10">
        <v>45965</v>
      </c>
      <c r="I6" s="16" t="s">
        <v>39</v>
      </c>
      <c r="J6">
        <v>100.1</v>
      </c>
    </row>
    <row r="7" spans="1:11" ht="28.95" customHeight="1" x14ac:dyDescent="0.3">
      <c r="A7" s="2" t="s">
        <v>40</v>
      </c>
      <c r="B7" s="2" t="s">
        <v>41</v>
      </c>
      <c r="C7" s="7" t="s">
        <v>32</v>
      </c>
      <c r="D7" s="7" t="s">
        <v>27</v>
      </c>
      <c r="E7" s="6" t="s">
        <v>42</v>
      </c>
      <c r="F7" s="2" t="s">
        <v>43</v>
      </c>
      <c r="G7" s="4" t="s">
        <v>44</v>
      </c>
      <c r="H7" s="6" t="s">
        <v>45</v>
      </c>
      <c r="I7" s="13" t="s">
        <v>46</v>
      </c>
      <c r="J7">
        <v>73.400000000000006</v>
      </c>
    </row>
    <row r="8" spans="1:11" ht="28.95" customHeight="1" x14ac:dyDescent="0.3">
      <c r="A8" s="2" t="s">
        <v>47</v>
      </c>
      <c r="B8" s="2" t="s">
        <v>48</v>
      </c>
      <c r="C8" s="7" t="s">
        <v>32</v>
      </c>
      <c r="D8" s="7" t="s">
        <v>27</v>
      </c>
      <c r="E8" s="6" t="s">
        <v>42</v>
      </c>
      <c r="F8" s="2" t="s">
        <v>49</v>
      </c>
      <c r="G8" s="4" t="s">
        <v>50</v>
      </c>
      <c r="H8" s="6" t="s">
        <v>51</v>
      </c>
      <c r="I8" s="13" t="s">
        <v>46</v>
      </c>
      <c r="J8">
        <v>73.400000000000006</v>
      </c>
    </row>
    <row r="9" spans="1:11" ht="28.95" customHeight="1" x14ac:dyDescent="0.3">
      <c r="A9" s="1" t="s">
        <v>52</v>
      </c>
      <c r="B9" s="2" t="s">
        <v>53</v>
      </c>
      <c r="C9" s="7" t="s">
        <v>54</v>
      </c>
      <c r="D9" s="7" t="s">
        <v>14</v>
      </c>
      <c r="E9" s="6" t="s">
        <v>55</v>
      </c>
      <c r="F9" s="2" t="s">
        <v>56</v>
      </c>
      <c r="G9" s="4" t="s">
        <v>57</v>
      </c>
      <c r="H9" s="6" t="s">
        <v>58</v>
      </c>
      <c r="I9" s="13" t="s">
        <v>59</v>
      </c>
      <c r="J9">
        <v>140.30000000000001</v>
      </c>
    </row>
    <row r="10" spans="1:11" x14ac:dyDescent="0.3">
      <c r="A10" s="2" t="s">
        <v>60</v>
      </c>
      <c r="B10" s="2" t="s">
        <v>61</v>
      </c>
      <c r="C10" s="7" t="s">
        <v>62</v>
      </c>
      <c r="D10" s="7" t="s">
        <v>14</v>
      </c>
      <c r="E10" s="10">
        <v>45728</v>
      </c>
      <c r="F10" s="2" t="s">
        <v>63</v>
      </c>
      <c r="G10" s="12">
        <v>10977417.189999999</v>
      </c>
      <c r="H10" s="10">
        <v>45842</v>
      </c>
      <c r="I10" s="13" t="s">
        <v>64</v>
      </c>
      <c r="J10">
        <v>140.30000000000001</v>
      </c>
    </row>
    <row r="11" spans="1:11" x14ac:dyDescent="0.3">
      <c r="A11" s="2" t="s">
        <v>65</v>
      </c>
      <c r="B11" s="2" t="s">
        <v>66</v>
      </c>
      <c r="C11" s="7" t="s">
        <v>62</v>
      </c>
      <c r="D11" s="7" t="s">
        <v>37</v>
      </c>
      <c r="E11" s="10">
        <v>45735</v>
      </c>
      <c r="F11" s="2" t="s">
        <v>67</v>
      </c>
      <c r="G11" s="12">
        <v>164522.56</v>
      </c>
      <c r="H11" s="10">
        <v>45847</v>
      </c>
      <c r="I11" s="13" t="s">
        <v>68</v>
      </c>
      <c r="J11">
        <v>100.1</v>
      </c>
    </row>
    <row r="12" spans="1:11" x14ac:dyDescent="0.3">
      <c r="A12" s="2" t="s">
        <v>69</v>
      </c>
      <c r="B12" s="2" t="s">
        <v>70</v>
      </c>
      <c r="C12" s="7" t="s">
        <v>62</v>
      </c>
      <c r="D12" s="7" t="s">
        <v>37</v>
      </c>
      <c r="E12" s="10">
        <v>45742</v>
      </c>
      <c r="F12" s="2" t="s">
        <v>71</v>
      </c>
      <c r="G12" s="12">
        <v>108916.55</v>
      </c>
      <c r="H12" s="10">
        <v>45853</v>
      </c>
      <c r="I12" s="13" t="s">
        <v>72</v>
      </c>
      <c r="J12">
        <v>100.1</v>
      </c>
    </row>
    <row r="13" spans="1:11" x14ac:dyDescent="0.3">
      <c r="A13" s="2" t="s">
        <v>73</v>
      </c>
      <c r="B13" s="2" t="s">
        <v>74</v>
      </c>
      <c r="C13" s="7" t="s">
        <v>62</v>
      </c>
      <c r="D13" s="7" t="s">
        <v>37</v>
      </c>
      <c r="E13" s="10">
        <v>45742</v>
      </c>
      <c r="F13" s="2" t="s">
        <v>75</v>
      </c>
      <c r="G13" s="12">
        <v>137857.89000000001</v>
      </c>
      <c r="H13" s="10">
        <v>45855</v>
      </c>
      <c r="I13" s="13" t="s">
        <v>76</v>
      </c>
      <c r="J13">
        <v>100.1</v>
      </c>
    </row>
    <row r="14" spans="1:11" ht="28.95" customHeight="1" x14ac:dyDescent="0.3">
      <c r="A14" s="2" t="s">
        <v>77</v>
      </c>
      <c r="B14" s="2" t="s">
        <v>78</v>
      </c>
      <c r="C14" s="7" t="s">
        <v>62</v>
      </c>
      <c r="D14" s="7" t="s">
        <v>37</v>
      </c>
      <c r="E14" s="10">
        <v>45742</v>
      </c>
      <c r="F14" s="2" t="s">
        <v>79</v>
      </c>
      <c r="G14" s="12">
        <v>102942.26</v>
      </c>
      <c r="H14" s="10">
        <v>45856</v>
      </c>
      <c r="I14" s="13" t="s">
        <v>80</v>
      </c>
      <c r="J14">
        <v>100.1</v>
      </c>
    </row>
    <row r="15" spans="1:11" x14ac:dyDescent="0.3">
      <c r="A15" s="2" t="s">
        <v>81</v>
      </c>
      <c r="B15" s="2" t="s">
        <v>82</v>
      </c>
      <c r="C15" s="7" t="s">
        <v>62</v>
      </c>
      <c r="D15" s="7" t="s">
        <v>37</v>
      </c>
      <c r="E15" s="10">
        <v>45826</v>
      </c>
      <c r="F15" s="2" t="s">
        <v>83</v>
      </c>
      <c r="G15" s="12">
        <v>455780.19</v>
      </c>
      <c r="H15" s="10">
        <v>45860</v>
      </c>
      <c r="I15" s="13" t="s">
        <v>84</v>
      </c>
      <c r="J15">
        <v>100.1</v>
      </c>
    </row>
    <row r="16" spans="1:11" x14ac:dyDescent="0.3">
      <c r="A16" s="2" t="s">
        <v>85</v>
      </c>
      <c r="B16" s="2" t="s">
        <v>86</v>
      </c>
      <c r="C16" s="7" t="s">
        <v>62</v>
      </c>
      <c r="D16" s="7" t="s">
        <v>37</v>
      </c>
      <c r="E16" s="10">
        <v>45749</v>
      </c>
      <c r="F16" s="2" t="s">
        <v>87</v>
      </c>
      <c r="G16" s="12">
        <v>200940.04</v>
      </c>
      <c r="H16" s="10">
        <v>45859</v>
      </c>
      <c r="I16" s="13" t="s">
        <v>88</v>
      </c>
      <c r="J16">
        <v>100.1</v>
      </c>
    </row>
    <row r="17" spans="1:10" x14ac:dyDescent="0.3">
      <c r="A17" s="2" t="s">
        <v>89</v>
      </c>
      <c r="B17" s="2" t="s">
        <v>90</v>
      </c>
      <c r="C17" s="7" t="s">
        <v>62</v>
      </c>
      <c r="D17" s="7" t="s">
        <v>37</v>
      </c>
      <c r="E17" s="10">
        <v>45749</v>
      </c>
      <c r="F17" s="2" t="s">
        <v>91</v>
      </c>
      <c r="G17" s="12">
        <v>248948.56</v>
      </c>
      <c r="H17" s="10">
        <v>45859</v>
      </c>
      <c r="I17" s="13" t="s">
        <v>92</v>
      </c>
      <c r="J17">
        <v>100.1</v>
      </c>
    </row>
    <row r="18" spans="1:10" x14ac:dyDescent="0.3">
      <c r="A18" s="2" t="s">
        <v>93</v>
      </c>
      <c r="B18" s="2" t="s">
        <v>94</v>
      </c>
      <c r="C18" s="7" t="s">
        <v>62</v>
      </c>
      <c r="D18" s="7" t="s">
        <v>37</v>
      </c>
      <c r="E18" s="10">
        <v>45896</v>
      </c>
      <c r="F18" s="2" t="s">
        <v>95</v>
      </c>
      <c r="G18" s="12">
        <v>111836.23</v>
      </c>
      <c r="H18" s="10">
        <v>45980</v>
      </c>
      <c r="I18" s="13" t="s">
        <v>96</v>
      </c>
      <c r="J18">
        <v>100.1</v>
      </c>
    </row>
    <row r="19" spans="1:10" x14ac:dyDescent="0.3">
      <c r="A19" s="1" t="s">
        <v>97</v>
      </c>
      <c r="B19" s="2" t="s">
        <v>98</v>
      </c>
      <c r="C19" s="7" t="s">
        <v>62</v>
      </c>
      <c r="D19" s="7" t="s">
        <v>99</v>
      </c>
      <c r="E19" s="10">
        <v>45693</v>
      </c>
      <c r="F19" s="2" t="s">
        <v>100</v>
      </c>
      <c r="G19" s="3">
        <v>720014.33</v>
      </c>
      <c r="H19" s="6" t="s">
        <v>101</v>
      </c>
      <c r="I19" s="13" t="s">
        <v>102</v>
      </c>
      <c r="J19">
        <v>23</v>
      </c>
    </row>
    <row r="20" spans="1:10" x14ac:dyDescent="0.3">
      <c r="A20" s="2" t="s">
        <v>103</v>
      </c>
      <c r="B20" s="2" t="s">
        <v>104</v>
      </c>
      <c r="C20" s="7" t="s">
        <v>62</v>
      </c>
      <c r="D20" s="7" t="s">
        <v>99</v>
      </c>
      <c r="E20" s="10">
        <v>45827</v>
      </c>
      <c r="F20" s="2" t="s">
        <v>105</v>
      </c>
      <c r="G20" s="12">
        <v>803354.19</v>
      </c>
      <c r="H20" s="10">
        <v>45849</v>
      </c>
      <c r="I20" s="13" t="s">
        <v>106</v>
      </c>
      <c r="J20">
        <v>23</v>
      </c>
    </row>
    <row r="21" spans="1:10" ht="28.95" customHeight="1" x14ac:dyDescent="0.3">
      <c r="A21" s="2" t="s">
        <v>107</v>
      </c>
      <c r="B21" s="2" t="s">
        <v>108</v>
      </c>
      <c r="C21" s="7" t="s">
        <v>109</v>
      </c>
      <c r="D21" s="7" t="s">
        <v>37</v>
      </c>
      <c r="E21" s="10">
        <v>45966</v>
      </c>
      <c r="F21" s="2" t="s">
        <v>110</v>
      </c>
      <c r="G21" s="12">
        <v>52478.16</v>
      </c>
      <c r="H21" s="10">
        <v>46022</v>
      </c>
      <c r="I21" s="13" t="s">
        <v>111</v>
      </c>
      <c r="J21">
        <v>100.1</v>
      </c>
    </row>
    <row r="22" spans="1:10" ht="28.95" customHeight="1" x14ac:dyDescent="0.3">
      <c r="A22" s="2" t="s">
        <v>112</v>
      </c>
      <c r="B22" s="2" t="s">
        <v>113</v>
      </c>
      <c r="C22" s="7" t="s">
        <v>109</v>
      </c>
      <c r="D22" s="7" t="s">
        <v>37</v>
      </c>
      <c r="E22" s="10">
        <v>45966</v>
      </c>
      <c r="F22" s="2" t="s">
        <v>114</v>
      </c>
      <c r="G22" s="12">
        <v>4772.78</v>
      </c>
      <c r="H22" s="10">
        <v>46021</v>
      </c>
      <c r="I22" s="13" t="s">
        <v>115</v>
      </c>
      <c r="J22">
        <v>100.1</v>
      </c>
    </row>
    <row r="23" spans="1:10" x14ac:dyDescent="0.3">
      <c r="A23" s="2" t="s">
        <v>116</v>
      </c>
      <c r="B23" s="2" t="s">
        <v>117</v>
      </c>
      <c r="C23" s="7" t="s">
        <v>109</v>
      </c>
      <c r="D23" s="7" t="s">
        <v>99</v>
      </c>
      <c r="E23" s="10">
        <v>45986</v>
      </c>
      <c r="F23" s="2" t="s">
        <v>118</v>
      </c>
      <c r="G23" s="12">
        <v>276420.46999999997</v>
      </c>
      <c r="H23" s="10">
        <v>45986</v>
      </c>
      <c r="I23" s="13" t="s">
        <v>119</v>
      </c>
      <c r="J23">
        <v>23</v>
      </c>
    </row>
    <row r="24" spans="1:10" x14ac:dyDescent="0.3">
      <c r="A24" s="2" t="s">
        <v>120</v>
      </c>
      <c r="B24" s="2" t="s">
        <v>121</v>
      </c>
      <c r="C24" s="7" t="s">
        <v>109</v>
      </c>
      <c r="D24" s="7" t="s">
        <v>99</v>
      </c>
      <c r="E24" s="10">
        <v>46014</v>
      </c>
      <c r="F24" s="2" t="s">
        <v>122</v>
      </c>
      <c r="G24" s="12">
        <v>4116.22</v>
      </c>
      <c r="H24" s="10">
        <v>46014</v>
      </c>
      <c r="I24" s="13" t="s">
        <v>123</v>
      </c>
      <c r="J24">
        <v>23</v>
      </c>
    </row>
    <row r="25" spans="1:10" x14ac:dyDescent="0.3">
      <c r="A25" s="2" t="s">
        <v>124</v>
      </c>
      <c r="B25" s="2" t="s">
        <v>125</v>
      </c>
      <c r="C25" s="7" t="s">
        <v>109</v>
      </c>
      <c r="D25" s="7" t="s">
        <v>99</v>
      </c>
      <c r="E25" s="10">
        <v>46014</v>
      </c>
      <c r="F25" s="2" t="s">
        <v>118</v>
      </c>
      <c r="G25" s="12">
        <v>49305</v>
      </c>
      <c r="H25" s="10">
        <v>46014</v>
      </c>
      <c r="I25" s="13" t="s">
        <v>126</v>
      </c>
      <c r="J25">
        <v>23</v>
      </c>
    </row>
    <row r="26" spans="1:10" ht="28.95" customHeight="1" x14ac:dyDescent="0.3">
      <c r="A26" s="2" t="s">
        <v>127</v>
      </c>
      <c r="B26" s="2" t="s">
        <v>128</v>
      </c>
      <c r="C26" s="7" t="s">
        <v>109</v>
      </c>
      <c r="D26" s="7" t="s">
        <v>99</v>
      </c>
      <c r="E26" s="10">
        <v>45994</v>
      </c>
      <c r="F26" s="2" t="s">
        <v>129</v>
      </c>
      <c r="G26" s="12">
        <v>61417.63</v>
      </c>
      <c r="H26" s="10" t="s">
        <v>130</v>
      </c>
      <c r="I26" s="13" t="s">
        <v>131</v>
      </c>
      <c r="J26">
        <v>23</v>
      </c>
    </row>
    <row r="27" spans="1:10" x14ac:dyDescent="0.3">
      <c r="A27" s="1" t="s">
        <v>132</v>
      </c>
      <c r="B27" s="2" t="s">
        <v>133</v>
      </c>
      <c r="C27" s="7" t="s">
        <v>109</v>
      </c>
      <c r="D27" s="7" t="s">
        <v>134</v>
      </c>
      <c r="E27" s="6" t="s">
        <v>135</v>
      </c>
      <c r="F27" s="2" t="s">
        <v>136</v>
      </c>
      <c r="G27" s="4" t="s">
        <v>137</v>
      </c>
      <c r="H27" s="6" t="s">
        <v>138</v>
      </c>
      <c r="I27" s="13" t="s">
        <v>139</v>
      </c>
      <c r="J27">
        <v>25.1</v>
      </c>
    </row>
    <row r="28" spans="1:10" x14ac:dyDescent="0.3">
      <c r="A28" s="1" t="s">
        <v>140</v>
      </c>
      <c r="B28" s="2" t="s">
        <v>141</v>
      </c>
      <c r="C28" s="7" t="s">
        <v>109</v>
      </c>
      <c r="D28" s="7" t="s">
        <v>134</v>
      </c>
      <c r="E28" s="6" t="s">
        <v>142</v>
      </c>
      <c r="F28" s="2" t="s">
        <v>143</v>
      </c>
      <c r="G28" s="4" t="s">
        <v>144</v>
      </c>
      <c r="H28" s="6" t="s">
        <v>145</v>
      </c>
      <c r="I28" s="13" t="s">
        <v>146</v>
      </c>
      <c r="J28">
        <v>25.1</v>
      </c>
    </row>
    <row r="29" spans="1:10" x14ac:dyDescent="0.3">
      <c r="A29" s="2" t="s">
        <v>147</v>
      </c>
      <c r="B29" s="2" t="s">
        <v>148</v>
      </c>
      <c r="C29" s="7" t="s">
        <v>109</v>
      </c>
      <c r="D29" s="7" t="s">
        <v>134</v>
      </c>
      <c r="E29" s="10">
        <v>45812</v>
      </c>
      <c r="F29" s="2" t="s">
        <v>149</v>
      </c>
      <c r="G29" s="12">
        <v>62920</v>
      </c>
      <c r="H29" s="10">
        <v>45827</v>
      </c>
      <c r="J29">
        <v>25.1</v>
      </c>
    </row>
    <row r="30" spans="1:10" ht="28.95" customHeight="1" x14ac:dyDescent="0.3">
      <c r="A30" s="2" t="s">
        <v>150</v>
      </c>
      <c r="B30" s="2" t="s">
        <v>151</v>
      </c>
      <c r="C30" s="7" t="s">
        <v>109</v>
      </c>
      <c r="D30" s="7" t="s">
        <v>134</v>
      </c>
      <c r="E30" s="10">
        <v>45826</v>
      </c>
      <c r="F30" s="2" t="s">
        <v>152</v>
      </c>
      <c r="G30" s="12">
        <v>24079</v>
      </c>
      <c r="H30" s="10">
        <v>45849</v>
      </c>
      <c r="I30" s="13" t="s">
        <v>153</v>
      </c>
      <c r="J30">
        <v>25.1</v>
      </c>
    </row>
    <row r="31" spans="1:10" x14ac:dyDescent="0.3">
      <c r="A31" s="2" t="s">
        <v>154</v>
      </c>
      <c r="B31" s="2" t="s">
        <v>155</v>
      </c>
      <c r="C31" s="7" t="s">
        <v>109</v>
      </c>
      <c r="D31" s="7" t="s">
        <v>134</v>
      </c>
      <c r="E31" s="10">
        <v>45826</v>
      </c>
      <c r="F31" s="2" t="s">
        <v>136</v>
      </c>
      <c r="G31" s="12">
        <v>35695</v>
      </c>
      <c r="H31" s="10">
        <v>45849</v>
      </c>
      <c r="I31" s="13" t="s">
        <v>156</v>
      </c>
      <c r="J31">
        <v>25.1</v>
      </c>
    </row>
    <row r="32" spans="1:10" x14ac:dyDescent="0.3">
      <c r="A32" s="2" t="s">
        <v>157</v>
      </c>
      <c r="B32" s="2" t="s">
        <v>158</v>
      </c>
      <c r="C32" s="7" t="s">
        <v>109</v>
      </c>
      <c r="D32" s="7" t="s">
        <v>134</v>
      </c>
      <c r="E32" s="10">
        <v>45866</v>
      </c>
      <c r="F32" s="2" t="s">
        <v>159</v>
      </c>
      <c r="G32" s="12">
        <v>60500</v>
      </c>
      <c r="H32" s="10">
        <v>45883</v>
      </c>
      <c r="I32" s="13" t="s">
        <v>160</v>
      </c>
      <c r="J32">
        <v>25.1</v>
      </c>
    </row>
    <row r="33" spans="1:10" ht="28.95" customHeight="1" x14ac:dyDescent="0.3">
      <c r="A33" s="2" t="s">
        <v>161</v>
      </c>
      <c r="B33" s="2" t="s">
        <v>162</v>
      </c>
      <c r="C33" s="7" t="s">
        <v>109</v>
      </c>
      <c r="D33" s="7" t="s">
        <v>134</v>
      </c>
      <c r="E33" s="10">
        <v>45861</v>
      </c>
      <c r="F33" s="2" t="s">
        <v>163</v>
      </c>
      <c r="G33" s="12">
        <v>79739</v>
      </c>
      <c r="H33" s="10">
        <v>45883</v>
      </c>
      <c r="J33">
        <v>25.1</v>
      </c>
    </row>
    <row r="34" spans="1:10" ht="28.95" customHeight="1" x14ac:dyDescent="0.3">
      <c r="A34" s="2" t="s">
        <v>164</v>
      </c>
      <c r="B34" s="2" t="s">
        <v>165</v>
      </c>
      <c r="C34" s="7" t="s">
        <v>109</v>
      </c>
      <c r="D34" s="7" t="s">
        <v>134</v>
      </c>
      <c r="E34" s="10">
        <v>45866</v>
      </c>
      <c r="F34" s="2" t="s">
        <v>166</v>
      </c>
      <c r="G34" s="12">
        <v>102850</v>
      </c>
      <c r="H34" s="10">
        <v>45883</v>
      </c>
      <c r="I34" s="13" t="s">
        <v>167</v>
      </c>
      <c r="J34">
        <v>25.1</v>
      </c>
    </row>
    <row r="35" spans="1:10" x14ac:dyDescent="0.3">
      <c r="A35" s="2" t="s">
        <v>168</v>
      </c>
      <c r="B35" s="2" t="s">
        <v>169</v>
      </c>
      <c r="C35" s="7" t="s">
        <v>109</v>
      </c>
      <c r="D35" s="7" t="s">
        <v>134</v>
      </c>
      <c r="E35" s="10">
        <v>45866</v>
      </c>
      <c r="F35" s="2" t="s">
        <v>170</v>
      </c>
      <c r="G35" s="12">
        <v>95590</v>
      </c>
      <c r="H35" s="10">
        <v>45883</v>
      </c>
      <c r="I35" s="13" t="s">
        <v>171</v>
      </c>
      <c r="J35">
        <v>25.1</v>
      </c>
    </row>
    <row r="36" spans="1:10" x14ac:dyDescent="0.3">
      <c r="A36" s="2" t="s">
        <v>172</v>
      </c>
      <c r="B36" s="2" t="s">
        <v>173</v>
      </c>
      <c r="C36" s="7" t="s">
        <v>109</v>
      </c>
      <c r="D36" s="7" t="s">
        <v>134</v>
      </c>
      <c r="E36" s="10">
        <v>45866</v>
      </c>
      <c r="F36" s="2" t="s">
        <v>170</v>
      </c>
      <c r="G36" s="12">
        <v>207515</v>
      </c>
      <c r="H36" s="10">
        <v>45883</v>
      </c>
      <c r="I36" s="13" t="s">
        <v>174</v>
      </c>
      <c r="J36">
        <v>25.1</v>
      </c>
    </row>
    <row r="37" spans="1:10" x14ac:dyDescent="0.3">
      <c r="A37" s="2" t="s">
        <v>175</v>
      </c>
      <c r="B37" s="2" t="s">
        <v>176</v>
      </c>
      <c r="C37" s="7" t="s">
        <v>109</v>
      </c>
      <c r="D37" s="7" t="s">
        <v>134</v>
      </c>
      <c r="E37" s="10">
        <v>45866</v>
      </c>
      <c r="F37" s="2" t="s">
        <v>170</v>
      </c>
      <c r="G37" s="12">
        <v>127050</v>
      </c>
      <c r="H37" s="10">
        <v>45883</v>
      </c>
      <c r="I37" s="13" t="s">
        <v>177</v>
      </c>
      <c r="J37">
        <v>25.1</v>
      </c>
    </row>
    <row r="38" spans="1:10" x14ac:dyDescent="0.3">
      <c r="A38" s="2" t="s">
        <v>178</v>
      </c>
      <c r="B38" s="2" t="s">
        <v>179</v>
      </c>
      <c r="C38" s="7" t="s">
        <v>109</v>
      </c>
      <c r="D38" s="7" t="s">
        <v>134</v>
      </c>
      <c r="E38" s="10">
        <v>46001</v>
      </c>
      <c r="F38" s="2" t="s">
        <v>136</v>
      </c>
      <c r="G38" s="12">
        <v>22687.5</v>
      </c>
      <c r="H38" s="10">
        <v>46010</v>
      </c>
      <c r="I38" s="13" t="s">
        <v>180</v>
      </c>
      <c r="J38">
        <v>25.1</v>
      </c>
    </row>
    <row r="39" spans="1:10" x14ac:dyDescent="0.3">
      <c r="A39" s="2" t="s">
        <v>181</v>
      </c>
      <c r="B39" s="2" t="s">
        <v>182</v>
      </c>
      <c r="C39" s="7" t="s">
        <v>109</v>
      </c>
      <c r="D39" s="7" t="s">
        <v>109</v>
      </c>
      <c r="E39" s="10">
        <v>46014</v>
      </c>
      <c r="F39" s="2" t="s">
        <v>183</v>
      </c>
      <c r="G39" s="12">
        <v>149825.73000000001</v>
      </c>
      <c r="H39" s="10">
        <v>46014</v>
      </c>
      <c r="I39" s="13" t="s">
        <v>184</v>
      </c>
      <c r="J39">
        <v>4</v>
      </c>
    </row>
    <row r="40" spans="1:10" x14ac:dyDescent="0.3">
      <c r="A40" s="2" t="s">
        <v>185</v>
      </c>
      <c r="B40" s="2" t="s">
        <v>186</v>
      </c>
      <c r="C40" s="7" t="s">
        <v>109</v>
      </c>
      <c r="D40" s="7" t="s">
        <v>109</v>
      </c>
      <c r="E40" s="10">
        <v>46014</v>
      </c>
      <c r="F40" s="2" t="s">
        <v>187</v>
      </c>
      <c r="G40" s="12">
        <v>7559.69</v>
      </c>
      <c r="H40" s="10">
        <v>46014</v>
      </c>
      <c r="I40" s="13" t="s">
        <v>188</v>
      </c>
      <c r="J40">
        <v>4</v>
      </c>
    </row>
    <row r="41" spans="1:10" x14ac:dyDescent="0.3">
      <c r="A41" s="2" t="s">
        <v>189</v>
      </c>
      <c r="B41" s="2" t="s">
        <v>190</v>
      </c>
      <c r="C41" s="7" t="s">
        <v>109</v>
      </c>
      <c r="D41" s="7" t="s">
        <v>109</v>
      </c>
      <c r="E41" s="10">
        <v>45931</v>
      </c>
      <c r="F41" s="2" t="s">
        <v>191</v>
      </c>
      <c r="G41" s="12">
        <v>24200</v>
      </c>
      <c r="H41" s="10">
        <v>45939</v>
      </c>
      <c r="I41" s="13" t="s">
        <v>192</v>
      </c>
      <c r="J41">
        <v>4</v>
      </c>
    </row>
    <row r="42" spans="1:10" x14ac:dyDescent="0.3">
      <c r="A42" s="2" t="s">
        <v>193</v>
      </c>
      <c r="B42" s="2" t="s">
        <v>194</v>
      </c>
      <c r="C42" s="7" t="s">
        <v>109</v>
      </c>
      <c r="D42" s="7" t="s">
        <v>109</v>
      </c>
      <c r="E42" s="10">
        <v>45931</v>
      </c>
      <c r="F42" s="2" t="s">
        <v>195</v>
      </c>
      <c r="G42" s="12">
        <v>38115</v>
      </c>
      <c r="H42" s="10">
        <v>45939</v>
      </c>
      <c r="I42" s="13" t="s">
        <v>196</v>
      </c>
      <c r="J42">
        <v>4</v>
      </c>
    </row>
    <row r="43" spans="1:10" x14ac:dyDescent="0.3">
      <c r="A43" s="1" t="s">
        <v>197</v>
      </c>
      <c r="B43" s="2" t="s">
        <v>198</v>
      </c>
      <c r="C43" s="7" t="s">
        <v>199</v>
      </c>
      <c r="D43" s="7" t="s">
        <v>14</v>
      </c>
      <c r="E43" s="6" t="s">
        <v>200</v>
      </c>
      <c r="F43" s="2" t="s">
        <v>201</v>
      </c>
      <c r="G43" s="4" t="s">
        <v>202</v>
      </c>
      <c r="H43" s="6" t="s">
        <v>203</v>
      </c>
      <c r="I43" s="13" t="s">
        <v>204</v>
      </c>
      <c r="J43">
        <v>140.30000000000001</v>
      </c>
    </row>
    <row r="44" spans="1:10" x14ac:dyDescent="0.3">
      <c r="A44" s="1" t="s">
        <v>205</v>
      </c>
      <c r="B44" s="2" t="s">
        <v>206</v>
      </c>
      <c r="C44" s="7" t="s">
        <v>199</v>
      </c>
      <c r="D44" s="7" t="s">
        <v>14</v>
      </c>
      <c r="E44" s="6" t="s">
        <v>42</v>
      </c>
      <c r="F44" s="2" t="s">
        <v>207</v>
      </c>
      <c r="G44" s="4" t="s">
        <v>208</v>
      </c>
      <c r="H44" s="6" t="s">
        <v>209</v>
      </c>
      <c r="I44" s="13" t="s">
        <v>210</v>
      </c>
      <c r="J44">
        <v>140.30000000000001</v>
      </c>
    </row>
    <row r="45" spans="1:10" x14ac:dyDescent="0.3">
      <c r="A45" s="1" t="s">
        <v>211</v>
      </c>
      <c r="B45" s="2" t="s">
        <v>212</v>
      </c>
      <c r="C45" s="7" t="s">
        <v>199</v>
      </c>
      <c r="D45" s="7" t="s">
        <v>14</v>
      </c>
      <c r="E45" s="6" t="s">
        <v>213</v>
      </c>
      <c r="F45" s="2" t="s">
        <v>214</v>
      </c>
      <c r="G45" s="4" t="s">
        <v>215</v>
      </c>
      <c r="H45" s="6" t="s">
        <v>216</v>
      </c>
      <c r="I45" s="13" t="s">
        <v>217</v>
      </c>
      <c r="J45">
        <v>140.30000000000001</v>
      </c>
    </row>
    <row r="46" spans="1:10" x14ac:dyDescent="0.3">
      <c r="A46" s="1" t="s">
        <v>218</v>
      </c>
      <c r="B46" s="2" t="s">
        <v>219</v>
      </c>
      <c r="C46" s="7" t="s">
        <v>199</v>
      </c>
      <c r="D46" s="7" t="s">
        <v>14</v>
      </c>
      <c r="E46" s="6" t="s">
        <v>220</v>
      </c>
      <c r="F46" s="2" t="s">
        <v>221</v>
      </c>
      <c r="G46" s="4" t="s">
        <v>222</v>
      </c>
      <c r="H46" s="6" t="s">
        <v>223</v>
      </c>
      <c r="I46" s="13" t="s">
        <v>224</v>
      </c>
      <c r="J46">
        <v>140.30000000000001</v>
      </c>
    </row>
    <row r="47" spans="1:10" ht="43.2" customHeight="1" x14ac:dyDescent="0.3">
      <c r="A47" s="1" t="s">
        <v>225</v>
      </c>
      <c r="B47" s="2" t="s">
        <v>226</v>
      </c>
      <c r="C47" s="7" t="s">
        <v>199</v>
      </c>
      <c r="D47" s="7" t="s">
        <v>14</v>
      </c>
      <c r="E47" s="6" t="s">
        <v>227</v>
      </c>
      <c r="F47" s="2" t="s">
        <v>228</v>
      </c>
      <c r="G47" s="4" t="s">
        <v>229</v>
      </c>
      <c r="H47" s="6" t="s">
        <v>230</v>
      </c>
      <c r="I47" s="13" t="s">
        <v>231</v>
      </c>
      <c r="J47">
        <v>140.30000000000001</v>
      </c>
    </row>
    <row r="48" spans="1:10" x14ac:dyDescent="0.3">
      <c r="A48" s="2" t="s">
        <v>232</v>
      </c>
      <c r="B48" s="2" t="s">
        <v>233</v>
      </c>
      <c r="C48" s="7" t="s">
        <v>199</v>
      </c>
      <c r="D48" s="7" t="s">
        <v>14</v>
      </c>
      <c r="E48" s="10">
        <v>45805</v>
      </c>
      <c r="F48" s="2" t="s">
        <v>234</v>
      </c>
      <c r="G48" s="12">
        <v>388471.71</v>
      </c>
      <c r="H48" s="10">
        <v>45936</v>
      </c>
      <c r="I48" s="13" t="s">
        <v>235</v>
      </c>
      <c r="J48">
        <v>140.30000000000001</v>
      </c>
    </row>
    <row r="49" spans="1:10" ht="28.95" customHeight="1" x14ac:dyDescent="0.3">
      <c r="A49" s="1" t="s">
        <v>236</v>
      </c>
      <c r="B49" s="2" t="s">
        <v>237</v>
      </c>
      <c r="C49" s="7" t="s">
        <v>199</v>
      </c>
      <c r="D49" s="7" t="s">
        <v>14</v>
      </c>
      <c r="E49" s="6" t="s">
        <v>15</v>
      </c>
      <c r="F49" s="2" t="s">
        <v>238</v>
      </c>
      <c r="G49" s="4" t="s">
        <v>239</v>
      </c>
      <c r="H49" s="10">
        <v>45798</v>
      </c>
      <c r="I49" s="13" t="s">
        <v>240</v>
      </c>
      <c r="J49">
        <v>140.30000000000001</v>
      </c>
    </row>
    <row r="50" spans="1:10" x14ac:dyDescent="0.3">
      <c r="A50" s="2" t="s">
        <v>241</v>
      </c>
      <c r="B50" s="2" t="s">
        <v>242</v>
      </c>
      <c r="C50" s="7" t="s">
        <v>199</v>
      </c>
      <c r="D50" s="7" t="s">
        <v>14</v>
      </c>
      <c r="E50" s="10">
        <v>45700</v>
      </c>
      <c r="F50" s="2" t="s">
        <v>243</v>
      </c>
      <c r="G50" s="12">
        <v>273901.64</v>
      </c>
      <c r="H50" s="10">
        <v>45827</v>
      </c>
      <c r="I50" s="13" t="s">
        <v>244</v>
      </c>
      <c r="J50">
        <v>140.30000000000001</v>
      </c>
    </row>
    <row r="51" spans="1:10" ht="28.95" customHeight="1" x14ac:dyDescent="0.3">
      <c r="A51" s="2" t="s">
        <v>245</v>
      </c>
      <c r="B51" s="2" t="s">
        <v>246</v>
      </c>
      <c r="C51" s="7" t="s">
        <v>199</v>
      </c>
      <c r="D51" s="7" t="s">
        <v>14</v>
      </c>
      <c r="E51" s="6" t="s">
        <v>15</v>
      </c>
      <c r="F51" s="2" t="s">
        <v>247</v>
      </c>
      <c r="G51" s="3">
        <v>7139</v>
      </c>
      <c r="H51" s="6" t="s">
        <v>248</v>
      </c>
      <c r="I51" s="13" t="s">
        <v>249</v>
      </c>
      <c r="J51">
        <v>140.30000000000001</v>
      </c>
    </row>
    <row r="52" spans="1:10" ht="28.95" customHeight="1" x14ac:dyDescent="0.3">
      <c r="A52" s="22" t="s">
        <v>250</v>
      </c>
      <c r="B52" s="22" t="s">
        <v>251</v>
      </c>
      <c r="C52" s="7" t="s">
        <v>199</v>
      </c>
      <c r="D52" s="27" t="s">
        <v>14</v>
      </c>
      <c r="E52" s="33" t="s">
        <v>15</v>
      </c>
      <c r="F52" s="22" t="s">
        <v>252</v>
      </c>
      <c r="G52" s="24">
        <v>46161.5</v>
      </c>
      <c r="H52" s="33" t="s">
        <v>248</v>
      </c>
      <c r="I52" s="13" t="s">
        <v>249</v>
      </c>
      <c r="J52">
        <v>140.30000000000001</v>
      </c>
    </row>
    <row r="53" spans="1:10" ht="28.95" customHeight="1" x14ac:dyDescent="0.3">
      <c r="A53" s="22" t="s">
        <v>253</v>
      </c>
      <c r="B53" s="22" t="s">
        <v>254</v>
      </c>
      <c r="C53" s="27" t="s">
        <v>199</v>
      </c>
      <c r="D53" s="27" t="s">
        <v>14</v>
      </c>
      <c r="E53" s="33" t="s">
        <v>15</v>
      </c>
      <c r="F53" s="22" t="s">
        <v>255</v>
      </c>
      <c r="G53" s="24">
        <v>1790.8</v>
      </c>
      <c r="H53" s="33" t="s">
        <v>248</v>
      </c>
      <c r="I53" s="13" t="s">
        <v>249</v>
      </c>
      <c r="J53">
        <v>140.30000000000001</v>
      </c>
    </row>
    <row r="54" spans="1:10" x14ac:dyDescent="0.3">
      <c r="A54" s="22" t="s">
        <v>256</v>
      </c>
      <c r="B54" s="22" t="s">
        <v>257</v>
      </c>
      <c r="C54" s="27" t="s">
        <v>199</v>
      </c>
      <c r="D54" s="27" t="s">
        <v>14</v>
      </c>
      <c r="E54" s="29">
        <v>45728</v>
      </c>
      <c r="F54" s="22" t="s">
        <v>258</v>
      </c>
      <c r="G54" s="24">
        <v>143421.29999999999</v>
      </c>
      <c r="H54" s="29">
        <v>45876</v>
      </c>
      <c r="I54" s="13" t="s">
        <v>259</v>
      </c>
      <c r="J54">
        <v>140.30000000000001</v>
      </c>
    </row>
    <row r="55" spans="1:10" ht="28.95" customHeight="1" x14ac:dyDescent="0.3">
      <c r="A55" s="22" t="s">
        <v>260</v>
      </c>
      <c r="B55" s="22" t="s">
        <v>261</v>
      </c>
      <c r="C55" s="27" t="s">
        <v>199</v>
      </c>
      <c r="D55" s="27" t="s">
        <v>14</v>
      </c>
      <c r="E55" s="29">
        <v>45749</v>
      </c>
      <c r="F55" s="22" t="s">
        <v>262</v>
      </c>
      <c r="G55" s="23">
        <v>79197.289999999994</v>
      </c>
      <c r="H55" s="29">
        <v>45862</v>
      </c>
      <c r="I55" s="13" t="s">
        <v>263</v>
      </c>
      <c r="J55">
        <v>140.30000000000001</v>
      </c>
    </row>
    <row r="56" spans="1:10" x14ac:dyDescent="0.3">
      <c r="A56" s="22" t="s">
        <v>264</v>
      </c>
      <c r="B56" s="22" t="s">
        <v>265</v>
      </c>
      <c r="C56" s="27" t="s">
        <v>199</v>
      </c>
      <c r="D56" s="27" t="s">
        <v>14</v>
      </c>
      <c r="E56" s="29">
        <v>45782</v>
      </c>
      <c r="F56" s="22" t="s">
        <v>266</v>
      </c>
      <c r="G56" s="23">
        <v>113101.5</v>
      </c>
      <c r="H56" s="29">
        <v>45888</v>
      </c>
      <c r="I56" s="13" t="s">
        <v>267</v>
      </c>
      <c r="J56">
        <v>140.30000000000001</v>
      </c>
    </row>
    <row r="57" spans="1:10" x14ac:dyDescent="0.3">
      <c r="A57" s="32" t="s">
        <v>268</v>
      </c>
      <c r="B57" s="22" t="s">
        <v>269</v>
      </c>
      <c r="C57" s="27" t="s">
        <v>199</v>
      </c>
      <c r="D57" s="27" t="s">
        <v>14</v>
      </c>
      <c r="E57" s="33" t="s">
        <v>270</v>
      </c>
      <c r="F57" s="22" t="s">
        <v>271</v>
      </c>
      <c r="G57" s="35">
        <v>709868.64</v>
      </c>
      <c r="H57" s="33" t="s">
        <v>272</v>
      </c>
      <c r="I57" s="13" t="s">
        <v>273</v>
      </c>
      <c r="J57">
        <v>140.30000000000001</v>
      </c>
    </row>
    <row r="58" spans="1:10" ht="28.95" customHeight="1" x14ac:dyDescent="0.3">
      <c r="A58" s="32" t="s">
        <v>274</v>
      </c>
      <c r="B58" s="22" t="s">
        <v>275</v>
      </c>
      <c r="C58" s="27" t="s">
        <v>199</v>
      </c>
      <c r="D58" s="27" t="s">
        <v>14</v>
      </c>
      <c r="E58" s="33" t="s">
        <v>270</v>
      </c>
      <c r="F58" s="22" t="s">
        <v>276</v>
      </c>
      <c r="G58" s="34" t="s">
        <v>277</v>
      </c>
      <c r="H58" s="33" t="s">
        <v>278</v>
      </c>
      <c r="I58" s="13" t="s">
        <v>279</v>
      </c>
      <c r="J58">
        <v>140.30000000000001</v>
      </c>
    </row>
    <row r="59" spans="1:10" ht="43.2" customHeight="1" x14ac:dyDescent="0.3">
      <c r="A59" s="22" t="s">
        <v>280</v>
      </c>
      <c r="B59" s="22" t="s">
        <v>281</v>
      </c>
      <c r="C59" s="27" t="s">
        <v>199</v>
      </c>
      <c r="D59" s="27" t="s">
        <v>14</v>
      </c>
      <c r="E59" s="29">
        <v>45798</v>
      </c>
      <c r="F59" s="22" t="s">
        <v>282</v>
      </c>
      <c r="G59" s="23">
        <v>217654.8</v>
      </c>
      <c r="H59" s="29">
        <v>45902</v>
      </c>
      <c r="I59" s="13" t="s">
        <v>283</v>
      </c>
      <c r="J59">
        <v>140.30000000000001</v>
      </c>
    </row>
    <row r="60" spans="1:10" ht="28.95" customHeight="1" x14ac:dyDescent="0.3">
      <c r="A60" s="22" t="s">
        <v>284</v>
      </c>
      <c r="B60" s="22" t="s">
        <v>285</v>
      </c>
      <c r="C60" s="27" t="s">
        <v>199</v>
      </c>
      <c r="D60" s="27" t="s">
        <v>14</v>
      </c>
      <c r="E60" s="29">
        <v>45763</v>
      </c>
      <c r="F60" s="22" t="s">
        <v>286</v>
      </c>
      <c r="G60" s="23">
        <v>6008.67</v>
      </c>
      <c r="H60" s="29">
        <v>45946</v>
      </c>
      <c r="I60" s="13" t="s">
        <v>287</v>
      </c>
      <c r="J60">
        <v>140.30000000000001</v>
      </c>
    </row>
    <row r="61" spans="1:10" ht="28.95" customHeight="1" x14ac:dyDescent="0.3">
      <c r="A61" s="22" t="s">
        <v>288</v>
      </c>
      <c r="B61" s="22" t="s">
        <v>289</v>
      </c>
      <c r="C61" s="27" t="s">
        <v>199</v>
      </c>
      <c r="D61" s="27" t="s">
        <v>14</v>
      </c>
      <c r="E61" s="29">
        <v>45763</v>
      </c>
      <c r="F61" s="22" t="s">
        <v>290</v>
      </c>
      <c r="G61" s="23">
        <v>8011.56</v>
      </c>
      <c r="H61" s="29">
        <v>45946</v>
      </c>
      <c r="I61" s="13" t="s">
        <v>287</v>
      </c>
      <c r="J61">
        <v>140.30000000000001</v>
      </c>
    </row>
    <row r="62" spans="1:10" ht="28.95" customHeight="1" x14ac:dyDescent="0.3">
      <c r="A62" s="22" t="s">
        <v>291</v>
      </c>
      <c r="B62" s="22" t="s">
        <v>292</v>
      </c>
      <c r="C62" s="27" t="s">
        <v>199</v>
      </c>
      <c r="D62" s="27" t="s">
        <v>14</v>
      </c>
      <c r="E62" s="29">
        <v>45763</v>
      </c>
      <c r="F62" s="22" t="s">
        <v>293</v>
      </c>
      <c r="G62" s="23">
        <v>12017.33</v>
      </c>
      <c r="H62" s="29">
        <v>45946</v>
      </c>
      <c r="I62" s="13" t="s">
        <v>287</v>
      </c>
      <c r="J62">
        <v>140.30000000000001</v>
      </c>
    </row>
    <row r="63" spans="1:10" ht="72" customHeight="1" x14ac:dyDescent="0.3">
      <c r="A63" s="22" t="s">
        <v>294</v>
      </c>
      <c r="B63" s="22" t="s">
        <v>295</v>
      </c>
      <c r="C63" s="27" t="s">
        <v>199</v>
      </c>
      <c r="D63" s="27" t="s">
        <v>14</v>
      </c>
      <c r="E63" s="29">
        <v>45763</v>
      </c>
      <c r="F63" s="22" t="s">
        <v>296</v>
      </c>
      <c r="G63" s="31" t="s">
        <v>297</v>
      </c>
      <c r="H63" s="29">
        <v>45946</v>
      </c>
      <c r="I63" s="13" t="s">
        <v>287</v>
      </c>
      <c r="J63">
        <v>140.30000000000001</v>
      </c>
    </row>
    <row r="64" spans="1:10" ht="28.95" customHeight="1" x14ac:dyDescent="0.3">
      <c r="A64" s="22" t="s">
        <v>298</v>
      </c>
      <c r="B64" s="22" t="s">
        <v>299</v>
      </c>
      <c r="C64" s="27" t="s">
        <v>199</v>
      </c>
      <c r="D64" s="27" t="s">
        <v>14</v>
      </c>
      <c r="E64" s="29">
        <v>45763</v>
      </c>
      <c r="F64" s="22" t="s">
        <v>300</v>
      </c>
      <c r="G64" s="23">
        <v>8011.56</v>
      </c>
      <c r="H64" s="29" t="s">
        <v>301</v>
      </c>
      <c r="I64" s="13" t="s">
        <v>287</v>
      </c>
      <c r="J64">
        <v>140.30000000000001</v>
      </c>
    </row>
    <row r="65" spans="1:10" ht="28.95" customHeight="1" x14ac:dyDescent="0.3">
      <c r="A65" s="22" t="s">
        <v>302</v>
      </c>
      <c r="B65" s="22" t="s">
        <v>303</v>
      </c>
      <c r="C65" s="27" t="s">
        <v>199</v>
      </c>
      <c r="D65" s="27" t="s">
        <v>14</v>
      </c>
      <c r="E65" s="29">
        <v>45763</v>
      </c>
      <c r="F65" s="22" t="s">
        <v>304</v>
      </c>
      <c r="G65" s="23">
        <v>10014.44</v>
      </c>
      <c r="H65" s="29">
        <v>45950</v>
      </c>
      <c r="I65" s="13" t="s">
        <v>287</v>
      </c>
      <c r="J65">
        <v>140.30000000000001</v>
      </c>
    </row>
    <row r="66" spans="1:10" ht="28.95" customHeight="1" x14ac:dyDescent="0.3">
      <c r="A66" s="22" t="s">
        <v>305</v>
      </c>
      <c r="B66" s="22" t="s">
        <v>306</v>
      </c>
      <c r="C66" s="27" t="s">
        <v>199</v>
      </c>
      <c r="D66" s="27" t="s">
        <v>14</v>
      </c>
      <c r="E66" s="29">
        <v>45763</v>
      </c>
      <c r="F66" s="22" t="s">
        <v>307</v>
      </c>
      <c r="G66" s="23">
        <v>8011.56</v>
      </c>
      <c r="H66" s="29">
        <v>45951</v>
      </c>
      <c r="I66" s="13" t="s">
        <v>287</v>
      </c>
      <c r="J66">
        <v>140.30000000000001</v>
      </c>
    </row>
    <row r="67" spans="1:10" ht="28.95" customHeight="1" x14ac:dyDescent="0.3">
      <c r="A67" s="22" t="s">
        <v>308</v>
      </c>
      <c r="B67" s="22" t="s">
        <v>309</v>
      </c>
      <c r="C67" s="27" t="s">
        <v>199</v>
      </c>
      <c r="D67" s="27" t="s">
        <v>14</v>
      </c>
      <c r="E67" s="29">
        <v>45742</v>
      </c>
      <c r="F67" s="22" t="s">
        <v>310</v>
      </c>
      <c r="G67" s="23">
        <v>31460</v>
      </c>
      <c r="H67" s="29">
        <v>45839</v>
      </c>
      <c r="I67" s="13" t="s">
        <v>311</v>
      </c>
      <c r="J67">
        <v>140.30000000000001</v>
      </c>
    </row>
    <row r="68" spans="1:10" ht="28.95" customHeight="1" x14ac:dyDescent="0.3">
      <c r="A68" s="22" t="s">
        <v>312</v>
      </c>
      <c r="B68" s="22" t="s">
        <v>309</v>
      </c>
      <c r="C68" s="27" t="s">
        <v>199</v>
      </c>
      <c r="D68" s="27" t="s">
        <v>14</v>
      </c>
      <c r="E68" s="29">
        <v>45742</v>
      </c>
      <c r="F68" s="22" t="s">
        <v>313</v>
      </c>
      <c r="G68" s="23">
        <v>18997</v>
      </c>
      <c r="H68" s="29">
        <v>45839</v>
      </c>
      <c r="J68">
        <v>140.30000000000001</v>
      </c>
    </row>
    <row r="69" spans="1:10" ht="28.95" customHeight="1" x14ac:dyDescent="0.3">
      <c r="A69" s="22" t="s">
        <v>314</v>
      </c>
      <c r="B69" s="22" t="s">
        <v>309</v>
      </c>
      <c r="C69" s="27" t="s">
        <v>199</v>
      </c>
      <c r="D69" s="27" t="s">
        <v>14</v>
      </c>
      <c r="E69" s="29">
        <v>45742</v>
      </c>
      <c r="F69" s="22" t="s">
        <v>315</v>
      </c>
      <c r="G69" s="23">
        <v>124146.47</v>
      </c>
      <c r="H69" s="29">
        <v>45839</v>
      </c>
      <c r="J69">
        <v>140.30000000000001</v>
      </c>
    </row>
    <row r="70" spans="1:10" x14ac:dyDescent="0.3">
      <c r="A70" s="22" t="s">
        <v>316</v>
      </c>
      <c r="B70" s="22" t="s">
        <v>317</v>
      </c>
      <c r="C70" s="27" t="s">
        <v>199</v>
      </c>
      <c r="D70" s="27" t="s">
        <v>14</v>
      </c>
      <c r="E70" s="29">
        <v>45805</v>
      </c>
      <c r="F70" s="22" t="s">
        <v>318</v>
      </c>
      <c r="G70" s="23">
        <v>152027.76</v>
      </c>
      <c r="H70" s="29">
        <v>45925</v>
      </c>
      <c r="I70" s="13" t="s">
        <v>319</v>
      </c>
      <c r="J70">
        <v>140.30000000000001</v>
      </c>
    </row>
    <row r="71" spans="1:10" x14ac:dyDescent="0.3">
      <c r="A71" s="22" t="s">
        <v>320</v>
      </c>
      <c r="B71" s="22" t="s">
        <v>321</v>
      </c>
      <c r="C71" s="27" t="s">
        <v>199</v>
      </c>
      <c r="D71" s="27" t="s">
        <v>14</v>
      </c>
      <c r="E71" s="29">
        <v>45812</v>
      </c>
      <c r="F71" s="22" t="s">
        <v>322</v>
      </c>
      <c r="G71" s="23">
        <v>176321.2</v>
      </c>
      <c r="H71" s="29">
        <v>45960</v>
      </c>
      <c r="I71" s="13" t="s">
        <v>323</v>
      </c>
      <c r="J71">
        <v>140.30000000000001</v>
      </c>
    </row>
    <row r="72" spans="1:10" ht="57.6" customHeight="1" x14ac:dyDescent="0.3">
      <c r="A72" s="22" t="s">
        <v>324</v>
      </c>
      <c r="B72" s="22" t="s">
        <v>325</v>
      </c>
      <c r="C72" s="27" t="s">
        <v>199</v>
      </c>
      <c r="D72" s="27" t="s">
        <v>14</v>
      </c>
      <c r="E72" s="29">
        <v>45749</v>
      </c>
      <c r="F72" s="22" t="s">
        <v>326</v>
      </c>
      <c r="G72" s="31" t="s">
        <v>327</v>
      </c>
      <c r="H72" s="29">
        <v>45839</v>
      </c>
      <c r="I72" s="13" t="s">
        <v>328</v>
      </c>
      <c r="J72">
        <v>140.30000000000001</v>
      </c>
    </row>
    <row r="73" spans="1:10" ht="28.95" customHeight="1" x14ac:dyDescent="0.3">
      <c r="A73" s="22" t="s">
        <v>329</v>
      </c>
      <c r="B73" s="22" t="s">
        <v>330</v>
      </c>
      <c r="C73" s="27" t="s">
        <v>199</v>
      </c>
      <c r="D73" s="27" t="s">
        <v>14</v>
      </c>
      <c r="E73" s="29">
        <v>45798</v>
      </c>
      <c r="F73" s="22" t="s">
        <v>331</v>
      </c>
      <c r="G73" s="23">
        <v>55629.75</v>
      </c>
      <c r="H73" s="29">
        <v>45889</v>
      </c>
      <c r="I73" s="16" t="s">
        <v>332</v>
      </c>
      <c r="J73">
        <v>140.30000000000001</v>
      </c>
    </row>
    <row r="74" spans="1:10" ht="28.95" customHeight="1" x14ac:dyDescent="0.3">
      <c r="A74" s="22" t="s">
        <v>333</v>
      </c>
      <c r="B74" s="22" t="s">
        <v>330</v>
      </c>
      <c r="C74" s="27" t="s">
        <v>199</v>
      </c>
      <c r="D74" s="27" t="s">
        <v>14</v>
      </c>
      <c r="E74" s="29">
        <v>45798</v>
      </c>
      <c r="F74" s="22" t="s">
        <v>334</v>
      </c>
      <c r="G74" s="23">
        <v>31457.58</v>
      </c>
      <c r="H74" s="29">
        <v>45889</v>
      </c>
      <c r="I74" s="16" t="s">
        <v>332</v>
      </c>
      <c r="J74">
        <v>140.30000000000001</v>
      </c>
    </row>
    <row r="75" spans="1:10" ht="28.95" customHeight="1" x14ac:dyDescent="0.3">
      <c r="A75" s="22" t="s">
        <v>335</v>
      </c>
      <c r="B75" s="22" t="s">
        <v>330</v>
      </c>
      <c r="C75" s="27" t="s">
        <v>199</v>
      </c>
      <c r="D75" s="27" t="s">
        <v>14</v>
      </c>
      <c r="E75" s="29">
        <v>45798</v>
      </c>
      <c r="F75" s="22" t="s">
        <v>336</v>
      </c>
      <c r="G75" s="23">
        <v>321860</v>
      </c>
      <c r="H75" s="29">
        <v>45889</v>
      </c>
      <c r="I75" s="16" t="s">
        <v>332</v>
      </c>
      <c r="J75">
        <v>140.30000000000001</v>
      </c>
    </row>
    <row r="76" spans="1:10" ht="28.95" customHeight="1" x14ac:dyDescent="0.3">
      <c r="A76" s="22" t="s">
        <v>337</v>
      </c>
      <c r="B76" s="22" t="s">
        <v>338</v>
      </c>
      <c r="C76" s="27" t="s">
        <v>199</v>
      </c>
      <c r="D76" s="27" t="s">
        <v>14</v>
      </c>
      <c r="E76" s="29">
        <v>45826</v>
      </c>
      <c r="F76" s="22" t="s">
        <v>339</v>
      </c>
      <c r="G76" s="23">
        <v>4199.9799999999996</v>
      </c>
      <c r="H76" s="29">
        <v>45958</v>
      </c>
      <c r="I76" s="13" t="s">
        <v>340</v>
      </c>
      <c r="J76">
        <v>140.30000000000001</v>
      </c>
    </row>
    <row r="77" spans="1:10" ht="28.95" customHeight="1" x14ac:dyDescent="0.3">
      <c r="A77" s="22" t="s">
        <v>341</v>
      </c>
      <c r="B77" s="22" t="s">
        <v>338</v>
      </c>
      <c r="C77" s="27" t="s">
        <v>199</v>
      </c>
      <c r="D77" s="27" t="s">
        <v>14</v>
      </c>
      <c r="E77" s="29">
        <v>45826</v>
      </c>
      <c r="F77" s="22" t="s">
        <v>342</v>
      </c>
      <c r="G77" s="31" t="s">
        <v>343</v>
      </c>
      <c r="H77" s="29">
        <v>45959</v>
      </c>
      <c r="I77" s="13" t="s">
        <v>340</v>
      </c>
      <c r="J77">
        <v>140.30000000000001</v>
      </c>
    </row>
    <row r="78" spans="1:10" ht="28.95" customHeight="1" x14ac:dyDescent="0.3">
      <c r="A78" s="22" t="s">
        <v>344</v>
      </c>
      <c r="B78" s="22" t="s">
        <v>345</v>
      </c>
      <c r="C78" s="27" t="s">
        <v>199</v>
      </c>
      <c r="D78" s="27" t="s">
        <v>14</v>
      </c>
      <c r="E78" s="29">
        <v>45791</v>
      </c>
      <c r="F78" s="22" t="s">
        <v>346</v>
      </c>
      <c r="G78" s="23" t="s">
        <v>347</v>
      </c>
      <c r="H78" s="29">
        <v>45890</v>
      </c>
      <c r="I78" s="13" t="s">
        <v>348</v>
      </c>
      <c r="J78">
        <v>140.30000000000001</v>
      </c>
    </row>
    <row r="79" spans="1:10" ht="28.95" customHeight="1" x14ac:dyDescent="0.3">
      <c r="A79" s="22" t="s">
        <v>349</v>
      </c>
      <c r="B79" s="22" t="s">
        <v>350</v>
      </c>
      <c r="C79" s="27" t="s">
        <v>199</v>
      </c>
      <c r="D79" s="27" t="s">
        <v>14</v>
      </c>
      <c r="E79" s="29">
        <v>45853</v>
      </c>
      <c r="F79" s="22" t="s">
        <v>351</v>
      </c>
      <c r="G79" s="23">
        <v>81130</v>
      </c>
      <c r="H79" s="29">
        <v>45929</v>
      </c>
      <c r="I79" s="13" t="s">
        <v>352</v>
      </c>
      <c r="J79">
        <v>140.30000000000001</v>
      </c>
    </row>
    <row r="80" spans="1:10" ht="28.95" customHeight="1" x14ac:dyDescent="0.3">
      <c r="A80" s="22" t="s">
        <v>353</v>
      </c>
      <c r="B80" s="22" t="s">
        <v>354</v>
      </c>
      <c r="C80" s="27" t="s">
        <v>199</v>
      </c>
      <c r="D80" s="27" t="s">
        <v>14</v>
      </c>
      <c r="E80" s="29">
        <v>45819</v>
      </c>
      <c r="F80" s="22" t="s">
        <v>355</v>
      </c>
      <c r="G80" s="23">
        <v>255260.1</v>
      </c>
      <c r="H80" s="29">
        <v>45930</v>
      </c>
      <c r="I80" s="13" t="s">
        <v>356</v>
      </c>
      <c r="J80">
        <v>140.30000000000001</v>
      </c>
    </row>
    <row r="81" spans="1:10" ht="28.95" customHeight="1" x14ac:dyDescent="0.3">
      <c r="A81" s="22" t="s">
        <v>357</v>
      </c>
      <c r="B81" s="22" t="s">
        <v>358</v>
      </c>
      <c r="C81" s="27" t="s">
        <v>199</v>
      </c>
      <c r="D81" s="27" t="s">
        <v>14</v>
      </c>
      <c r="E81" s="29">
        <v>45875</v>
      </c>
      <c r="F81" s="22" t="s">
        <v>359</v>
      </c>
      <c r="G81" s="23">
        <v>14570.34</v>
      </c>
      <c r="H81" s="29">
        <v>46008</v>
      </c>
      <c r="I81" s="13" t="s">
        <v>360</v>
      </c>
      <c r="J81">
        <v>140.30000000000001</v>
      </c>
    </row>
    <row r="82" spans="1:10" ht="28.95" customHeight="1" x14ac:dyDescent="0.3">
      <c r="A82" s="22" t="s">
        <v>361</v>
      </c>
      <c r="B82" s="22" t="s">
        <v>362</v>
      </c>
      <c r="C82" s="27" t="s">
        <v>199</v>
      </c>
      <c r="D82" s="27" t="s">
        <v>14</v>
      </c>
      <c r="E82" s="29">
        <v>45875</v>
      </c>
      <c r="F82" s="22" t="s">
        <v>363</v>
      </c>
      <c r="G82" s="23">
        <v>8408.06</v>
      </c>
      <c r="H82" s="29">
        <v>46008</v>
      </c>
      <c r="I82" s="13" t="s">
        <v>360</v>
      </c>
      <c r="J82">
        <v>140.30000000000001</v>
      </c>
    </row>
    <row r="83" spans="1:10" x14ac:dyDescent="0.3">
      <c r="A83" s="22" t="s">
        <v>364</v>
      </c>
      <c r="B83" s="22" t="s">
        <v>365</v>
      </c>
      <c r="C83" s="27" t="s">
        <v>199</v>
      </c>
      <c r="D83" s="27" t="s">
        <v>14</v>
      </c>
      <c r="E83" s="29">
        <v>45924</v>
      </c>
      <c r="F83" s="22" t="s">
        <v>366</v>
      </c>
      <c r="G83" s="23">
        <v>79627.679999999993</v>
      </c>
      <c r="H83" s="29">
        <v>46021</v>
      </c>
      <c r="I83" s="13" t="s">
        <v>367</v>
      </c>
      <c r="J83">
        <v>140.30000000000001</v>
      </c>
    </row>
    <row r="84" spans="1:10" x14ac:dyDescent="0.3">
      <c r="A84" s="22" t="s">
        <v>368</v>
      </c>
      <c r="B84" s="22" t="s">
        <v>369</v>
      </c>
      <c r="C84" s="27" t="s">
        <v>199</v>
      </c>
      <c r="D84" s="27" t="s">
        <v>14</v>
      </c>
      <c r="E84" s="29">
        <v>45896</v>
      </c>
      <c r="F84" s="22" t="s">
        <v>370</v>
      </c>
      <c r="G84" s="23">
        <v>492480</v>
      </c>
      <c r="H84" s="29">
        <v>46014</v>
      </c>
      <c r="I84" s="13" t="s">
        <v>371</v>
      </c>
      <c r="J84">
        <v>140.30000000000001</v>
      </c>
    </row>
    <row r="85" spans="1:10" x14ac:dyDescent="0.3">
      <c r="A85" s="22" t="s">
        <v>372</v>
      </c>
      <c r="B85" s="22" t="s">
        <v>373</v>
      </c>
      <c r="C85" s="27" t="s">
        <v>199</v>
      </c>
      <c r="D85" s="27" t="s">
        <v>14</v>
      </c>
      <c r="E85" s="29">
        <v>45895</v>
      </c>
      <c r="F85" s="22" t="s">
        <v>75</v>
      </c>
      <c r="G85" s="23">
        <v>1077056.3400000001</v>
      </c>
      <c r="H85" s="29">
        <v>46007</v>
      </c>
      <c r="I85" s="13" t="s">
        <v>374</v>
      </c>
      <c r="J85">
        <v>140.30000000000001</v>
      </c>
    </row>
    <row r="86" spans="1:10" ht="28.95" customHeight="1" x14ac:dyDescent="0.3">
      <c r="A86" s="22" t="s">
        <v>375</v>
      </c>
      <c r="B86" s="22" t="s">
        <v>376</v>
      </c>
      <c r="C86" s="27" t="s">
        <v>199</v>
      </c>
      <c r="D86" s="27" t="s">
        <v>14</v>
      </c>
      <c r="E86" s="29">
        <v>45922</v>
      </c>
      <c r="F86" s="22" t="s">
        <v>377</v>
      </c>
      <c r="G86" s="23">
        <v>94985</v>
      </c>
      <c r="H86" s="29">
        <v>46010</v>
      </c>
      <c r="I86" s="13" t="s">
        <v>378</v>
      </c>
      <c r="J86">
        <v>140.30000000000001</v>
      </c>
    </row>
    <row r="87" spans="1:10" ht="28.95" customHeight="1" x14ac:dyDescent="0.3">
      <c r="A87" s="22" t="s">
        <v>379</v>
      </c>
      <c r="B87" s="22" t="s">
        <v>380</v>
      </c>
      <c r="C87" s="27" t="s">
        <v>199</v>
      </c>
      <c r="D87" s="27" t="s">
        <v>14</v>
      </c>
      <c r="E87" s="29">
        <v>45922</v>
      </c>
      <c r="F87" s="22" t="s">
        <v>381</v>
      </c>
      <c r="G87" s="23">
        <v>21780</v>
      </c>
      <c r="H87" s="29">
        <v>46010</v>
      </c>
      <c r="I87" s="13" t="s">
        <v>378</v>
      </c>
      <c r="J87">
        <v>140.30000000000001</v>
      </c>
    </row>
    <row r="88" spans="1:10" ht="28.95" customHeight="1" x14ac:dyDescent="0.3">
      <c r="A88" s="22" t="s">
        <v>382</v>
      </c>
      <c r="B88" s="22" t="s">
        <v>383</v>
      </c>
      <c r="C88" s="27" t="s">
        <v>199</v>
      </c>
      <c r="D88" s="27" t="s">
        <v>14</v>
      </c>
      <c r="E88" s="29">
        <v>45922</v>
      </c>
      <c r="F88" s="22" t="s">
        <v>384</v>
      </c>
      <c r="G88" s="23">
        <v>23483.9</v>
      </c>
      <c r="H88" s="29">
        <v>46010</v>
      </c>
      <c r="I88" s="13" t="s">
        <v>378</v>
      </c>
      <c r="J88">
        <v>140.30000000000001</v>
      </c>
    </row>
    <row r="89" spans="1:10" ht="28.95" customHeight="1" x14ac:dyDescent="0.3">
      <c r="A89" s="22" t="s">
        <v>385</v>
      </c>
      <c r="B89" s="22" t="s">
        <v>386</v>
      </c>
      <c r="C89" s="27" t="s">
        <v>199</v>
      </c>
      <c r="D89" s="27" t="s">
        <v>37</v>
      </c>
      <c r="E89" s="33" t="s">
        <v>387</v>
      </c>
      <c r="F89" s="22" t="s">
        <v>388</v>
      </c>
      <c r="G89" s="34" t="s">
        <v>389</v>
      </c>
      <c r="H89" s="33" t="s">
        <v>390</v>
      </c>
      <c r="I89" s="13" t="s">
        <v>391</v>
      </c>
      <c r="J89">
        <v>100.1</v>
      </c>
    </row>
    <row r="90" spans="1:10" ht="28.95" customHeight="1" x14ac:dyDescent="0.3">
      <c r="A90" s="22" t="s">
        <v>392</v>
      </c>
      <c r="B90" s="22" t="s">
        <v>393</v>
      </c>
      <c r="C90" s="27" t="s">
        <v>199</v>
      </c>
      <c r="D90" s="27" t="s">
        <v>37</v>
      </c>
      <c r="E90" s="33" t="s">
        <v>387</v>
      </c>
      <c r="F90" s="22" t="s">
        <v>394</v>
      </c>
      <c r="G90" s="36" t="s">
        <v>395</v>
      </c>
      <c r="H90" s="33" t="s">
        <v>396</v>
      </c>
      <c r="I90" s="16" t="s">
        <v>391</v>
      </c>
      <c r="J90">
        <v>100.1</v>
      </c>
    </row>
    <row r="91" spans="1:10" ht="28.95" customHeight="1" x14ac:dyDescent="0.3">
      <c r="A91" s="22" t="s">
        <v>397</v>
      </c>
      <c r="B91" s="22" t="s">
        <v>398</v>
      </c>
      <c r="C91" s="27" t="s">
        <v>199</v>
      </c>
      <c r="D91" s="27" t="s">
        <v>37</v>
      </c>
      <c r="E91" s="29">
        <v>45826</v>
      </c>
      <c r="F91" s="22" t="s">
        <v>399</v>
      </c>
      <c r="G91" s="23">
        <v>35090</v>
      </c>
      <c r="H91" s="29">
        <v>45945</v>
      </c>
      <c r="I91" s="13" t="s">
        <v>400</v>
      </c>
      <c r="J91">
        <v>100.1</v>
      </c>
    </row>
    <row r="92" spans="1:10" ht="28.95" customHeight="1" x14ac:dyDescent="0.3">
      <c r="A92" s="22" t="s">
        <v>401</v>
      </c>
      <c r="B92" s="22" t="s">
        <v>402</v>
      </c>
      <c r="C92" s="27" t="s">
        <v>199</v>
      </c>
      <c r="D92" s="27" t="s">
        <v>37</v>
      </c>
      <c r="E92" s="29">
        <v>45896</v>
      </c>
      <c r="F92" s="22" t="s">
        <v>403</v>
      </c>
      <c r="G92" s="23">
        <v>24436</v>
      </c>
      <c r="H92" s="29">
        <v>45996</v>
      </c>
      <c r="I92" s="13" t="s">
        <v>404</v>
      </c>
      <c r="J92">
        <v>100.1</v>
      </c>
    </row>
    <row r="93" spans="1:10" ht="57.6" customHeight="1" x14ac:dyDescent="0.3">
      <c r="A93" s="22" t="s">
        <v>405</v>
      </c>
      <c r="B93" s="22" t="s">
        <v>406</v>
      </c>
      <c r="C93" s="27" t="s">
        <v>199</v>
      </c>
      <c r="D93" s="27" t="s">
        <v>27</v>
      </c>
      <c r="E93" s="29">
        <v>45728</v>
      </c>
      <c r="F93" s="22" t="s">
        <v>407</v>
      </c>
      <c r="G93" s="31" t="s">
        <v>408</v>
      </c>
      <c r="H93" s="29">
        <v>45824</v>
      </c>
      <c r="I93" s="16" t="s">
        <v>409</v>
      </c>
      <c r="J93">
        <v>73.400000000000006</v>
      </c>
    </row>
    <row r="94" spans="1:10" ht="43.2" customHeight="1" x14ac:dyDescent="0.3">
      <c r="A94" s="22" t="s">
        <v>410</v>
      </c>
      <c r="B94" s="22" t="s">
        <v>411</v>
      </c>
      <c r="C94" s="27" t="s">
        <v>199</v>
      </c>
      <c r="D94" s="27" t="s">
        <v>27</v>
      </c>
      <c r="E94" s="29">
        <v>45763</v>
      </c>
      <c r="F94" s="22" t="s">
        <v>412</v>
      </c>
      <c r="G94" s="31" t="s">
        <v>413</v>
      </c>
      <c r="H94" s="29">
        <v>45905</v>
      </c>
      <c r="I94" s="16" t="s">
        <v>414</v>
      </c>
      <c r="J94">
        <v>73.400000000000006</v>
      </c>
    </row>
    <row r="95" spans="1:10" ht="28.95" customHeight="1" x14ac:dyDescent="0.3">
      <c r="A95" s="22" t="s">
        <v>415</v>
      </c>
      <c r="B95" s="22" t="s">
        <v>416</v>
      </c>
      <c r="C95" s="27" t="s">
        <v>199</v>
      </c>
      <c r="D95" s="27" t="s">
        <v>27</v>
      </c>
      <c r="E95" s="33" t="s">
        <v>417</v>
      </c>
      <c r="F95" s="22" t="s">
        <v>418</v>
      </c>
      <c r="G95" s="34" t="s">
        <v>419</v>
      </c>
      <c r="H95" s="33" t="s">
        <v>420</v>
      </c>
      <c r="I95" s="16" t="s">
        <v>421</v>
      </c>
      <c r="J95">
        <v>73.400000000000006</v>
      </c>
    </row>
    <row r="96" spans="1:10" ht="28.95" customHeight="1" x14ac:dyDescent="0.3">
      <c r="A96" s="22" t="s">
        <v>422</v>
      </c>
      <c r="B96" s="22" t="s">
        <v>423</v>
      </c>
      <c r="C96" s="27" t="s">
        <v>199</v>
      </c>
      <c r="D96" s="27" t="s">
        <v>27</v>
      </c>
      <c r="E96" s="33" t="s">
        <v>417</v>
      </c>
      <c r="F96" s="22" t="s">
        <v>424</v>
      </c>
      <c r="G96" s="34" t="s">
        <v>425</v>
      </c>
      <c r="H96" s="33" t="s">
        <v>420</v>
      </c>
      <c r="I96" s="16" t="s">
        <v>421</v>
      </c>
      <c r="J96">
        <v>73.400000000000006</v>
      </c>
    </row>
    <row r="97" spans="1:10" ht="28.95" customHeight="1" x14ac:dyDescent="0.3">
      <c r="A97" s="22" t="s">
        <v>426</v>
      </c>
      <c r="B97" s="22" t="s">
        <v>427</v>
      </c>
      <c r="C97" s="27" t="s">
        <v>199</v>
      </c>
      <c r="D97" s="27" t="s">
        <v>27</v>
      </c>
      <c r="E97" s="33" t="s">
        <v>417</v>
      </c>
      <c r="F97" s="22" t="s">
        <v>428</v>
      </c>
      <c r="G97" s="34" t="s">
        <v>429</v>
      </c>
      <c r="H97" s="33" t="s">
        <v>420</v>
      </c>
      <c r="I97" s="16" t="s">
        <v>421</v>
      </c>
      <c r="J97">
        <v>73.400000000000006</v>
      </c>
    </row>
    <row r="98" spans="1:10" ht="28.95" customHeight="1" x14ac:dyDescent="0.3">
      <c r="A98" s="22" t="s">
        <v>430</v>
      </c>
      <c r="B98" s="22" t="s">
        <v>431</v>
      </c>
      <c r="C98" s="27" t="s">
        <v>199</v>
      </c>
      <c r="D98" s="27" t="s">
        <v>27</v>
      </c>
      <c r="E98" s="29">
        <v>45853</v>
      </c>
      <c r="F98" s="22" t="s">
        <v>432</v>
      </c>
      <c r="G98" s="23">
        <v>28946.5</v>
      </c>
      <c r="H98" s="29">
        <v>45902</v>
      </c>
      <c r="I98" s="13" t="s">
        <v>433</v>
      </c>
      <c r="J98">
        <v>73.400000000000006</v>
      </c>
    </row>
    <row r="99" spans="1:10" ht="28.95" customHeight="1" x14ac:dyDescent="0.3">
      <c r="A99" s="22" t="s">
        <v>434</v>
      </c>
      <c r="B99" s="22" t="s">
        <v>435</v>
      </c>
      <c r="C99" s="27" t="s">
        <v>199</v>
      </c>
      <c r="D99" s="27" t="s">
        <v>27</v>
      </c>
      <c r="E99" s="29">
        <v>45866</v>
      </c>
      <c r="F99" s="22" t="s">
        <v>436</v>
      </c>
      <c r="G99" s="23">
        <v>19599.580000000002</v>
      </c>
      <c r="H99" s="29">
        <v>45931</v>
      </c>
      <c r="I99" s="13" t="s">
        <v>437</v>
      </c>
      <c r="J99">
        <v>73.400000000000006</v>
      </c>
    </row>
    <row r="100" spans="1:10" ht="28.95" customHeight="1" x14ac:dyDescent="0.3">
      <c r="A100" s="22" t="s">
        <v>438</v>
      </c>
      <c r="B100" s="22" t="s">
        <v>439</v>
      </c>
      <c r="C100" s="27" t="s">
        <v>199</v>
      </c>
      <c r="D100" s="27" t="s">
        <v>27</v>
      </c>
      <c r="E100" s="29">
        <v>45910</v>
      </c>
      <c r="F100" s="22" t="s">
        <v>440</v>
      </c>
      <c r="G100" s="23">
        <v>28250.5</v>
      </c>
      <c r="H100" s="29">
        <v>45953</v>
      </c>
      <c r="I100" s="13" t="s">
        <v>441</v>
      </c>
      <c r="J100">
        <v>73.400000000000006</v>
      </c>
    </row>
    <row r="101" spans="1:10" ht="28.95" customHeight="1" x14ac:dyDescent="0.3">
      <c r="A101" s="22" t="s">
        <v>442</v>
      </c>
      <c r="B101" s="22" t="s">
        <v>443</v>
      </c>
      <c r="C101" s="27" t="s">
        <v>199</v>
      </c>
      <c r="D101" s="27" t="s">
        <v>27</v>
      </c>
      <c r="E101" s="29">
        <v>45959</v>
      </c>
      <c r="F101" s="22" t="s">
        <v>377</v>
      </c>
      <c r="G101" s="23">
        <v>14190</v>
      </c>
      <c r="H101" s="29">
        <v>46000</v>
      </c>
      <c r="I101" s="16" t="s">
        <v>444</v>
      </c>
      <c r="J101">
        <v>73.400000000000006</v>
      </c>
    </row>
    <row r="102" spans="1:10" ht="28.95" customHeight="1" x14ac:dyDescent="0.3">
      <c r="A102" s="22" t="s">
        <v>445</v>
      </c>
      <c r="B102" s="22" t="s">
        <v>446</v>
      </c>
      <c r="C102" s="27" t="s">
        <v>199</v>
      </c>
      <c r="D102" s="27" t="s">
        <v>27</v>
      </c>
      <c r="E102" s="29">
        <v>45959</v>
      </c>
      <c r="F102" s="22" t="s">
        <v>331</v>
      </c>
      <c r="G102" s="23">
        <v>10315.25</v>
      </c>
      <c r="H102" s="29">
        <v>46000</v>
      </c>
      <c r="I102" s="16" t="s">
        <v>444</v>
      </c>
      <c r="J102">
        <v>73.400000000000006</v>
      </c>
    </row>
    <row r="103" spans="1:10" x14ac:dyDescent="0.3">
      <c r="A103" s="32" t="s">
        <v>447</v>
      </c>
      <c r="B103" s="22" t="s">
        <v>448</v>
      </c>
      <c r="C103" s="27" t="s">
        <v>199</v>
      </c>
      <c r="D103" s="27" t="s">
        <v>99</v>
      </c>
      <c r="E103" s="29">
        <v>45705</v>
      </c>
      <c r="F103" s="22" t="s">
        <v>449</v>
      </c>
      <c r="G103" s="34" t="s">
        <v>450</v>
      </c>
      <c r="H103" s="33" t="s">
        <v>42</v>
      </c>
      <c r="I103" s="13" t="s">
        <v>451</v>
      </c>
      <c r="J103">
        <v>23</v>
      </c>
    </row>
    <row r="104" spans="1:10" x14ac:dyDescent="0.3">
      <c r="A104" s="32" t="s">
        <v>452</v>
      </c>
      <c r="B104" s="22" t="s">
        <v>453</v>
      </c>
      <c r="C104" s="27" t="s">
        <v>199</v>
      </c>
      <c r="D104" s="27" t="s">
        <v>99</v>
      </c>
      <c r="E104" s="29">
        <v>45705</v>
      </c>
      <c r="F104" s="22" t="s">
        <v>454</v>
      </c>
      <c r="G104" s="34" t="s">
        <v>455</v>
      </c>
      <c r="H104" s="33" t="s">
        <v>145</v>
      </c>
      <c r="I104" s="13" t="s">
        <v>456</v>
      </c>
      <c r="J104">
        <v>23</v>
      </c>
    </row>
    <row r="105" spans="1:10" x14ac:dyDescent="0.3">
      <c r="A105" s="32" t="s">
        <v>457</v>
      </c>
      <c r="B105" s="22" t="s">
        <v>458</v>
      </c>
      <c r="C105" s="27" t="s">
        <v>199</v>
      </c>
      <c r="D105" s="27" t="s">
        <v>99</v>
      </c>
      <c r="E105" s="29">
        <v>45793</v>
      </c>
      <c r="F105" s="22" t="s">
        <v>459</v>
      </c>
      <c r="G105" s="24" t="s">
        <v>460</v>
      </c>
      <c r="H105" s="33" t="s">
        <v>461</v>
      </c>
      <c r="I105" s="13" t="s">
        <v>462</v>
      </c>
      <c r="J105">
        <v>23</v>
      </c>
    </row>
    <row r="106" spans="1:10" x14ac:dyDescent="0.3">
      <c r="A106" s="32" t="s">
        <v>463</v>
      </c>
      <c r="B106" s="22" t="s">
        <v>464</v>
      </c>
      <c r="C106" s="27" t="s">
        <v>199</v>
      </c>
      <c r="D106" s="27" t="s">
        <v>99</v>
      </c>
      <c r="E106" s="29">
        <v>45754</v>
      </c>
      <c r="F106" s="22" t="s">
        <v>465</v>
      </c>
      <c r="G106" s="24" t="s">
        <v>466</v>
      </c>
      <c r="H106" s="33" t="s">
        <v>467</v>
      </c>
      <c r="I106" s="13" t="s">
        <v>468</v>
      </c>
      <c r="J106">
        <v>23</v>
      </c>
    </row>
    <row r="107" spans="1:10" x14ac:dyDescent="0.3">
      <c r="A107" s="32" t="s">
        <v>469</v>
      </c>
      <c r="B107" s="22" t="s">
        <v>470</v>
      </c>
      <c r="C107" s="27" t="s">
        <v>199</v>
      </c>
      <c r="D107" s="27" t="s">
        <v>99</v>
      </c>
      <c r="E107" s="29">
        <v>45754</v>
      </c>
      <c r="F107" s="22" t="s">
        <v>471</v>
      </c>
      <c r="G107" s="24" t="s">
        <v>472</v>
      </c>
      <c r="H107" s="33" t="s">
        <v>473</v>
      </c>
      <c r="I107" s="13" t="s">
        <v>474</v>
      </c>
      <c r="J107">
        <v>23</v>
      </c>
    </row>
    <row r="108" spans="1:10" x14ac:dyDescent="0.3">
      <c r="A108" s="32" t="s">
        <v>475</v>
      </c>
      <c r="B108" s="22" t="s">
        <v>476</v>
      </c>
      <c r="C108" s="27" t="s">
        <v>199</v>
      </c>
      <c r="D108" s="27" t="s">
        <v>99</v>
      </c>
      <c r="E108" s="29">
        <v>45754</v>
      </c>
      <c r="F108" s="22" t="s">
        <v>471</v>
      </c>
      <c r="G108" s="24" t="s">
        <v>477</v>
      </c>
      <c r="H108" s="33" t="s">
        <v>467</v>
      </c>
      <c r="I108" s="13" t="s">
        <v>478</v>
      </c>
      <c r="J108">
        <v>23</v>
      </c>
    </row>
    <row r="109" spans="1:10" x14ac:dyDescent="0.3">
      <c r="A109" s="32" t="s">
        <v>479</v>
      </c>
      <c r="B109" s="22" t="s">
        <v>480</v>
      </c>
      <c r="C109" s="27" t="s">
        <v>199</v>
      </c>
      <c r="D109" s="27" t="s">
        <v>99</v>
      </c>
      <c r="E109" s="29">
        <v>45754</v>
      </c>
      <c r="F109" s="22" t="s">
        <v>471</v>
      </c>
      <c r="G109" s="24" t="s">
        <v>481</v>
      </c>
      <c r="H109" s="33" t="s">
        <v>482</v>
      </c>
      <c r="I109" s="13" t="s">
        <v>483</v>
      </c>
      <c r="J109">
        <v>23</v>
      </c>
    </row>
    <row r="110" spans="1:10" x14ac:dyDescent="0.3">
      <c r="A110" s="32" t="s">
        <v>484</v>
      </c>
      <c r="B110" s="22" t="s">
        <v>485</v>
      </c>
      <c r="C110" s="27" t="s">
        <v>199</v>
      </c>
      <c r="D110" s="27" t="s">
        <v>99</v>
      </c>
      <c r="E110" s="29">
        <v>45756</v>
      </c>
      <c r="F110" s="22" t="s">
        <v>465</v>
      </c>
      <c r="G110" s="24" t="s">
        <v>486</v>
      </c>
      <c r="H110" s="33" t="s">
        <v>272</v>
      </c>
      <c r="I110" s="13" t="s">
        <v>487</v>
      </c>
      <c r="J110">
        <v>23</v>
      </c>
    </row>
    <row r="111" spans="1:10" x14ac:dyDescent="0.3">
      <c r="A111" s="32" t="s">
        <v>488</v>
      </c>
      <c r="B111" s="22" t="s">
        <v>489</v>
      </c>
      <c r="C111" s="27" t="s">
        <v>199</v>
      </c>
      <c r="D111" s="27" t="s">
        <v>99</v>
      </c>
      <c r="E111" s="29">
        <v>45754</v>
      </c>
      <c r="F111" s="22" t="s">
        <v>471</v>
      </c>
      <c r="G111" s="24" t="s">
        <v>490</v>
      </c>
      <c r="H111" s="33" t="s">
        <v>473</v>
      </c>
      <c r="I111" s="13" t="s">
        <v>491</v>
      </c>
      <c r="J111">
        <v>23</v>
      </c>
    </row>
    <row r="112" spans="1:10" x14ac:dyDescent="0.3">
      <c r="A112" s="32" t="s">
        <v>492</v>
      </c>
      <c r="B112" s="22" t="s">
        <v>493</v>
      </c>
      <c r="C112" s="27" t="s">
        <v>199</v>
      </c>
      <c r="D112" s="27" t="s">
        <v>99</v>
      </c>
      <c r="E112" s="29">
        <v>45754</v>
      </c>
      <c r="F112" s="22" t="s">
        <v>471</v>
      </c>
      <c r="G112" s="24" t="s">
        <v>494</v>
      </c>
      <c r="H112" s="33" t="s">
        <v>467</v>
      </c>
      <c r="I112" s="13" t="s">
        <v>495</v>
      </c>
      <c r="J112">
        <v>23</v>
      </c>
    </row>
    <row r="113" spans="1:10" x14ac:dyDescent="0.3">
      <c r="A113" s="32" t="s">
        <v>496</v>
      </c>
      <c r="B113" s="22" t="s">
        <v>497</v>
      </c>
      <c r="C113" s="27" t="s">
        <v>199</v>
      </c>
      <c r="D113" s="27" t="s">
        <v>99</v>
      </c>
      <c r="E113" s="29">
        <v>45757</v>
      </c>
      <c r="F113" s="22" t="s">
        <v>498</v>
      </c>
      <c r="G113" s="24" t="s">
        <v>499</v>
      </c>
      <c r="H113" s="33" t="s">
        <v>500</v>
      </c>
      <c r="I113" s="13" t="s">
        <v>501</v>
      </c>
      <c r="J113">
        <v>23</v>
      </c>
    </row>
    <row r="114" spans="1:10" ht="28.95" customHeight="1" x14ac:dyDescent="0.3">
      <c r="A114" s="32" t="s">
        <v>502</v>
      </c>
      <c r="B114" s="22" t="s">
        <v>503</v>
      </c>
      <c r="C114" s="27" t="s">
        <v>199</v>
      </c>
      <c r="D114" s="27" t="s">
        <v>99</v>
      </c>
      <c r="E114" s="29">
        <v>45762</v>
      </c>
      <c r="F114" s="22" t="s">
        <v>498</v>
      </c>
      <c r="G114" s="34" t="s">
        <v>504</v>
      </c>
      <c r="H114" s="33" t="s">
        <v>467</v>
      </c>
      <c r="I114" s="13" t="s">
        <v>505</v>
      </c>
      <c r="J114">
        <v>23</v>
      </c>
    </row>
    <row r="115" spans="1:10" ht="18.75" customHeight="1" x14ac:dyDescent="0.3">
      <c r="A115" s="32" t="s">
        <v>506</v>
      </c>
      <c r="B115" s="22" t="s">
        <v>507</v>
      </c>
      <c r="C115" s="27" t="s">
        <v>199</v>
      </c>
      <c r="D115" s="27" t="s">
        <v>99</v>
      </c>
      <c r="E115" s="29">
        <v>45769</v>
      </c>
      <c r="F115" s="22" t="s">
        <v>508</v>
      </c>
      <c r="G115" s="34" t="s">
        <v>509</v>
      </c>
      <c r="H115" s="33" t="s">
        <v>209</v>
      </c>
      <c r="I115" s="13" t="s">
        <v>510</v>
      </c>
      <c r="J115">
        <v>23</v>
      </c>
    </row>
    <row r="116" spans="1:10" x14ac:dyDescent="0.3">
      <c r="A116" s="32" t="s">
        <v>511</v>
      </c>
      <c r="B116" s="22" t="s">
        <v>512</v>
      </c>
      <c r="C116" s="27" t="s">
        <v>199</v>
      </c>
      <c r="D116" s="27" t="s">
        <v>99</v>
      </c>
      <c r="E116" s="29">
        <v>45784</v>
      </c>
      <c r="F116" s="22" t="s">
        <v>471</v>
      </c>
      <c r="G116" s="34" t="s">
        <v>513</v>
      </c>
      <c r="H116" s="33" t="s">
        <v>272</v>
      </c>
      <c r="I116" s="13" t="s">
        <v>514</v>
      </c>
      <c r="J116">
        <v>23</v>
      </c>
    </row>
    <row r="117" spans="1:10" x14ac:dyDescent="0.3">
      <c r="A117" s="22" t="s">
        <v>515</v>
      </c>
      <c r="B117" s="22" t="s">
        <v>516</v>
      </c>
      <c r="C117" s="27" t="s">
        <v>199</v>
      </c>
      <c r="D117" s="27" t="s">
        <v>99</v>
      </c>
      <c r="E117" s="29">
        <v>45845</v>
      </c>
      <c r="F117" s="22" t="s">
        <v>517</v>
      </c>
      <c r="G117" s="23">
        <v>34762.089999999997</v>
      </c>
      <c r="H117" s="29">
        <v>45915</v>
      </c>
      <c r="I117" s="13" t="s">
        <v>518</v>
      </c>
      <c r="J117">
        <v>23</v>
      </c>
    </row>
    <row r="118" spans="1:10" x14ac:dyDescent="0.3">
      <c r="A118" s="22" t="s">
        <v>519</v>
      </c>
      <c r="B118" s="22" t="s">
        <v>520</v>
      </c>
      <c r="C118" s="27" t="s">
        <v>199</v>
      </c>
      <c r="D118" s="27" t="s">
        <v>99</v>
      </c>
      <c r="E118" s="29">
        <v>45825</v>
      </c>
      <c r="F118" s="22" t="s">
        <v>521</v>
      </c>
      <c r="G118" s="23">
        <v>2981.43</v>
      </c>
      <c r="H118" s="29">
        <v>45849</v>
      </c>
      <c r="I118" s="13" t="s">
        <v>522</v>
      </c>
      <c r="J118">
        <v>23</v>
      </c>
    </row>
    <row r="119" spans="1:10" x14ac:dyDescent="0.3">
      <c r="A119" s="32" t="s">
        <v>523</v>
      </c>
      <c r="B119" s="22" t="s">
        <v>524</v>
      </c>
      <c r="C119" s="27" t="s">
        <v>199</v>
      </c>
      <c r="D119" s="27" t="s">
        <v>99</v>
      </c>
      <c r="E119" s="29">
        <v>45769</v>
      </c>
      <c r="F119" s="22" t="s">
        <v>498</v>
      </c>
      <c r="G119" s="34" t="s">
        <v>525</v>
      </c>
      <c r="H119" s="33" t="s">
        <v>526</v>
      </c>
      <c r="I119" s="13" t="s">
        <v>527</v>
      </c>
      <c r="J119">
        <v>23</v>
      </c>
    </row>
    <row r="120" spans="1:10" ht="28.95" customHeight="1" x14ac:dyDescent="0.3">
      <c r="A120" s="22" t="s">
        <v>528</v>
      </c>
      <c r="B120" s="22" t="s">
        <v>529</v>
      </c>
      <c r="C120" s="27" t="s">
        <v>199</v>
      </c>
      <c r="D120" s="27" t="s">
        <v>99</v>
      </c>
      <c r="E120" s="29">
        <v>45842</v>
      </c>
      <c r="F120" s="22" t="s">
        <v>498</v>
      </c>
      <c r="G120" s="23">
        <v>128503.65</v>
      </c>
      <c r="H120" s="29">
        <v>45855</v>
      </c>
      <c r="I120" s="13" t="s">
        <v>530</v>
      </c>
      <c r="J120">
        <v>23</v>
      </c>
    </row>
    <row r="121" spans="1:10" x14ac:dyDescent="0.3">
      <c r="A121" s="32" t="s">
        <v>531</v>
      </c>
      <c r="B121" s="22" t="s">
        <v>532</v>
      </c>
      <c r="C121" s="27" t="s">
        <v>199</v>
      </c>
      <c r="D121" s="27" t="s">
        <v>99</v>
      </c>
      <c r="E121" s="29">
        <v>45803</v>
      </c>
      <c r="F121" s="22" t="s">
        <v>498</v>
      </c>
      <c r="G121" s="34" t="s">
        <v>533</v>
      </c>
      <c r="H121" s="33" t="s">
        <v>461</v>
      </c>
      <c r="I121" s="13" t="s">
        <v>534</v>
      </c>
      <c r="J121">
        <v>23</v>
      </c>
    </row>
    <row r="122" spans="1:10" ht="28.95" customHeight="1" x14ac:dyDescent="0.3">
      <c r="A122" s="37" t="s">
        <v>535</v>
      </c>
      <c r="B122" s="25" t="s">
        <v>536</v>
      </c>
      <c r="C122" s="28" t="s">
        <v>199</v>
      </c>
      <c r="D122" s="28" t="s">
        <v>99</v>
      </c>
      <c r="E122" s="30">
        <v>45803</v>
      </c>
      <c r="F122" s="25" t="s">
        <v>454</v>
      </c>
      <c r="G122" s="38" t="s">
        <v>537</v>
      </c>
      <c r="H122" s="39" t="s">
        <v>272</v>
      </c>
      <c r="I122" s="13" t="s">
        <v>538</v>
      </c>
      <c r="J122">
        <v>23</v>
      </c>
    </row>
    <row r="123" spans="1:10" x14ac:dyDescent="0.3">
      <c r="A123" s="22" t="s">
        <v>539</v>
      </c>
      <c r="B123" s="22" t="s">
        <v>540</v>
      </c>
      <c r="C123" s="27" t="s">
        <v>199</v>
      </c>
      <c r="D123" s="27" t="s">
        <v>99</v>
      </c>
      <c r="E123" s="29">
        <v>45825</v>
      </c>
      <c r="F123" s="22" t="s">
        <v>541</v>
      </c>
      <c r="G123" s="23">
        <v>3193.78</v>
      </c>
      <c r="H123" s="29">
        <v>45848</v>
      </c>
      <c r="I123" s="13" t="s">
        <v>542</v>
      </c>
      <c r="J123">
        <v>23</v>
      </c>
    </row>
    <row r="124" spans="1:10" x14ac:dyDescent="0.3">
      <c r="A124" s="22" t="s">
        <v>543</v>
      </c>
      <c r="B124" s="22" t="s">
        <v>544</v>
      </c>
      <c r="C124" s="27" t="s">
        <v>199</v>
      </c>
      <c r="D124" s="27" t="s">
        <v>99</v>
      </c>
      <c r="E124" s="29">
        <v>45840</v>
      </c>
      <c r="F124" s="22" t="s">
        <v>545</v>
      </c>
      <c r="G124" s="23">
        <v>1165.21</v>
      </c>
      <c r="H124" s="29">
        <v>45848</v>
      </c>
      <c r="I124" s="13" t="s">
        <v>546</v>
      </c>
      <c r="J124">
        <v>23</v>
      </c>
    </row>
    <row r="125" spans="1:10" ht="28.95" customHeight="1" x14ac:dyDescent="0.3">
      <c r="A125" s="22" t="s">
        <v>547</v>
      </c>
      <c r="B125" s="22" t="s">
        <v>548</v>
      </c>
      <c r="C125" s="27" t="s">
        <v>199</v>
      </c>
      <c r="D125" s="27" t="s">
        <v>99</v>
      </c>
      <c r="E125" s="29">
        <v>45840</v>
      </c>
      <c r="F125" s="22" t="s">
        <v>454</v>
      </c>
      <c r="G125" s="23">
        <v>68057.919999999998</v>
      </c>
      <c r="H125" s="29">
        <v>45855</v>
      </c>
      <c r="I125" s="13" t="s">
        <v>549</v>
      </c>
      <c r="J125">
        <v>23</v>
      </c>
    </row>
    <row r="126" spans="1:10" ht="28.95" customHeight="1" x14ac:dyDescent="0.3">
      <c r="A126" s="22" t="s">
        <v>550</v>
      </c>
      <c r="B126" s="22" t="s">
        <v>551</v>
      </c>
      <c r="C126" s="27" t="s">
        <v>199</v>
      </c>
      <c r="D126" s="27" t="s">
        <v>99</v>
      </c>
      <c r="E126" s="29">
        <v>45842</v>
      </c>
      <c r="F126" s="22" t="s">
        <v>521</v>
      </c>
      <c r="G126" s="23">
        <v>2047.95</v>
      </c>
      <c r="H126" s="29">
        <v>45861</v>
      </c>
      <c r="I126" s="13" t="s">
        <v>552</v>
      </c>
      <c r="J126">
        <v>23</v>
      </c>
    </row>
    <row r="127" spans="1:10" ht="28.95" customHeight="1" x14ac:dyDescent="0.3">
      <c r="A127" s="22" t="s">
        <v>553</v>
      </c>
      <c r="B127" s="22" t="s">
        <v>554</v>
      </c>
      <c r="C127" s="27" t="s">
        <v>199</v>
      </c>
      <c r="D127" s="27" t="s">
        <v>99</v>
      </c>
      <c r="E127" s="29">
        <v>45842</v>
      </c>
      <c r="F127" s="22" t="s">
        <v>555</v>
      </c>
      <c r="G127" s="23">
        <v>737.36</v>
      </c>
      <c r="H127" s="29">
        <v>45856</v>
      </c>
      <c r="I127" s="13" t="s">
        <v>556</v>
      </c>
      <c r="J127">
        <v>23</v>
      </c>
    </row>
    <row r="128" spans="1:10" x14ac:dyDescent="0.3">
      <c r="A128" s="22" t="s">
        <v>557</v>
      </c>
      <c r="B128" s="22" t="s">
        <v>558</v>
      </c>
      <c r="C128" s="27" t="s">
        <v>199</v>
      </c>
      <c r="D128" s="27" t="s">
        <v>99</v>
      </c>
      <c r="E128" s="29">
        <v>45867</v>
      </c>
      <c r="F128" s="22" t="s">
        <v>454</v>
      </c>
      <c r="G128" s="23">
        <v>7556.63</v>
      </c>
      <c r="H128" s="29">
        <v>45918</v>
      </c>
      <c r="I128" s="13" t="s">
        <v>559</v>
      </c>
      <c r="J128">
        <v>23</v>
      </c>
    </row>
    <row r="129" spans="1:10" x14ac:dyDescent="0.3">
      <c r="A129" s="22" t="s">
        <v>560</v>
      </c>
      <c r="B129" s="22" t="s">
        <v>561</v>
      </c>
      <c r="C129" s="27" t="s">
        <v>199</v>
      </c>
      <c r="D129" s="27" t="s">
        <v>99</v>
      </c>
      <c r="E129" s="29">
        <v>45846</v>
      </c>
      <c r="F129" s="22" t="s">
        <v>449</v>
      </c>
      <c r="G129" s="23">
        <v>51723.69</v>
      </c>
      <c r="H129" s="29">
        <v>45856</v>
      </c>
      <c r="I129" s="13" t="s">
        <v>562</v>
      </c>
      <c r="J129">
        <v>23</v>
      </c>
    </row>
    <row r="130" spans="1:10" x14ac:dyDescent="0.3">
      <c r="A130" s="22" t="s">
        <v>563</v>
      </c>
      <c r="B130" s="22" t="s">
        <v>564</v>
      </c>
      <c r="C130" s="27" t="s">
        <v>199</v>
      </c>
      <c r="D130" s="27" t="s">
        <v>99</v>
      </c>
      <c r="E130" s="29">
        <v>45840</v>
      </c>
      <c r="F130" s="22" t="s">
        <v>555</v>
      </c>
      <c r="G130" s="23">
        <v>765.28</v>
      </c>
      <c r="H130" s="29">
        <v>45848</v>
      </c>
      <c r="I130" s="13" t="s">
        <v>565</v>
      </c>
      <c r="J130">
        <v>23</v>
      </c>
    </row>
    <row r="131" spans="1:10" ht="32.25" customHeight="1" x14ac:dyDescent="0.3">
      <c r="A131" s="22" t="s">
        <v>566</v>
      </c>
      <c r="B131" s="22" t="s">
        <v>567</v>
      </c>
      <c r="C131" s="27" t="s">
        <v>199</v>
      </c>
      <c r="D131" s="27" t="s">
        <v>99</v>
      </c>
      <c r="E131" s="29">
        <v>45846</v>
      </c>
      <c r="F131" s="22" t="s">
        <v>465</v>
      </c>
      <c r="G131" s="23">
        <v>15597.72</v>
      </c>
      <c r="H131" s="29">
        <v>45876</v>
      </c>
      <c r="I131" s="13" t="s">
        <v>568</v>
      </c>
      <c r="J131">
        <v>23</v>
      </c>
    </row>
    <row r="132" spans="1:10" x14ac:dyDescent="0.3">
      <c r="A132" s="22" t="s">
        <v>569</v>
      </c>
      <c r="B132" s="22" t="s">
        <v>570</v>
      </c>
      <c r="C132" s="27" t="s">
        <v>199</v>
      </c>
      <c r="D132" s="27" t="s">
        <v>99</v>
      </c>
      <c r="E132" s="29">
        <v>45867</v>
      </c>
      <c r="F132" s="22" t="s">
        <v>498</v>
      </c>
      <c r="G132" s="23">
        <v>10320.1</v>
      </c>
      <c r="H132" s="29">
        <v>45915</v>
      </c>
      <c r="I132" s="13" t="s">
        <v>571</v>
      </c>
      <c r="J132">
        <v>23</v>
      </c>
    </row>
    <row r="133" spans="1:10" x14ac:dyDescent="0.3">
      <c r="A133" s="22" t="s">
        <v>572</v>
      </c>
      <c r="B133" s="22" t="s">
        <v>573</v>
      </c>
      <c r="C133" s="27" t="s">
        <v>199</v>
      </c>
      <c r="D133" s="27" t="s">
        <v>99</v>
      </c>
      <c r="E133" s="29">
        <v>45841</v>
      </c>
      <c r="F133" s="22" t="s">
        <v>498</v>
      </c>
      <c r="G133" s="23">
        <v>6736.97</v>
      </c>
      <c r="H133" s="29">
        <v>45856</v>
      </c>
      <c r="I133" s="13" t="s">
        <v>574</v>
      </c>
      <c r="J133">
        <v>23</v>
      </c>
    </row>
    <row r="134" spans="1:10" x14ac:dyDescent="0.3">
      <c r="A134" s="22" t="s">
        <v>575</v>
      </c>
      <c r="B134" s="22" t="s">
        <v>576</v>
      </c>
      <c r="C134" s="27" t="s">
        <v>199</v>
      </c>
      <c r="D134" s="27" t="s">
        <v>99</v>
      </c>
      <c r="E134" s="29">
        <v>45841</v>
      </c>
      <c r="F134" s="22" t="s">
        <v>498</v>
      </c>
      <c r="G134" s="23">
        <v>4344.67</v>
      </c>
      <c r="H134" s="29">
        <v>45856</v>
      </c>
      <c r="I134" s="13" t="s">
        <v>577</v>
      </c>
      <c r="J134">
        <v>23</v>
      </c>
    </row>
    <row r="135" spans="1:10" x14ac:dyDescent="0.3">
      <c r="A135" s="22" t="s">
        <v>578</v>
      </c>
      <c r="B135" s="22" t="s">
        <v>579</v>
      </c>
      <c r="C135" s="27" t="s">
        <v>199</v>
      </c>
      <c r="D135" s="27" t="s">
        <v>99</v>
      </c>
      <c r="E135" s="29">
        <v>45842</v>
      </c>
      <c r="F135" s="22" t="s">
        <v>454</v>
      </c>
      <c r="G135" s="23">
        <v>2776.37</v>
      </c>
      <c r="H135" s="29">
        <v>45856</v>
      </c>
      <c r="I135" s="13" t="s">
        <v>580</v>
      </c>
      <c r="J135">
        <v>23</v>
      </c>
    </row>
    <row r="136" spans="1:10" x14ac:dyDescent="0.3">
      <c r="A136" s="22" t="s">
        <v>581</v>
      </c>
      <c r="B136" s="22" t="s">
        <v>582</v>
      </c>
      <c r="C136" s="27" t="s">
        <v>199</v>
      </c>
      <c r="D136" s="27" t="s">
        <v>99</v>
      </c>
      <c r="E136" s="29">
        <v>45841</v>
      </c>
      <c r="F136" s="22" t="s">
        <v>454</v>
      </c>
      <c r="G136" s="23">
        <v>1356.26</v>
      </c>
      <c r="H136" s="29">
        <v>45856</v>
      </c>
      <c r="I136" s="13" t="s">
        <v>583</v>
      </c>
      <c r="J136">
        <v>23</v>
      </c>
    </row>
    <row r="137" spans="1:10" ht="86.4" customHeight="1" x14ac:dyDescent="0.3">
      <c r="A137" s="22" t="s">
        <v>584</v>
      </c>
      <c r="B137" s="22" t="s">
        <v>585</v>
      </c>
      <c r="C137" s="27" t="s">
        <v>199</v>
      </c>
      <c r="D137" s="27" t="s">
        <v>99</v>
      </c>
      <c r="E137" s="29">
        <v>45827</v>
      </c>
      <c r="F137" s="22" t="s">
        <v>586</v>
      </c>
      <c r="G137" s="23" t="s">
        <v>587</v>
      </c>
      <c r="H137" s="29">
        <v>45827</v>
      </c>
      <c r="I137" s="13" t="s">
        <v>588</v>
      </c>
      <c r="J137">
        <v>23</v>
      </c>
    </row>
    <row r="138" spans="1:10" ht="28.95" customHeight="1" x14ac:dyDescent="0.3">
      <c r="A138" s="22" t="s">
        <v>589</v>
      </c>
      <c r="B138" s="22" t="s">
        <v>590</v>
      </c>
      <c r="C138" s="27" t="s">
        <v>199</v>
      </c>
      <c r="D138" s="27" t="s">
        <v>99</v>
      </c>
      <c r="E138" s="29">
        <v>45846</v>
      </c>
      <c r="F138" s="22" t="s">
        <v>498</v>
      </c>
      <c r="G138" s="23">
        <v>27334.49</v>
      </c>
      <c r="H138" s="29">
        <v>45883</v>
      </c>
      <c r="I138" s="13" t="s">
        <v>591</v>
      </c>
      <c r="J138">
        <v>23</v>
      </c>
    </row>
    <row r="139" spans="1:10" x14ac:dyDescent="0.3">
      <c r="A139" s="22" t="s">
        <v>592</v>
      </c>
      <c r="B139" s="22" t="s">
        <v>593</v>
      </c>
      <c r="C139" s="27" t="s">
        <v>199</v>
      </c>
      <c r="D139" s="27" t="s">
        <v>99</v>
      </c>
      <c r="E139" s="29">
        <v>45842</v>
      </c>
      <c r="F139" s="22" t="s">
        <v>555</v>
      </c>
      <c r="G139" s="23">
        <v>1049.5999999999999</v>
      </c>
      <c r="H139" s="29">
        <v>45849</v>
      </c>
      <c r="I139" s="13" t="s">
        <v>594</v>
      </c>
      <c r="J139">
        <v>23</v>
      </c>
    </row>
    <row r="140" spans="1:10" ht="28.95" customHeight="1" x14ac:dyDescent="0.3">
      <c r="A140" s="22" t="s">
        <v>595</v>
      </c>
      <c r="B140" s="22" t="s">
        <v>596</v>
      </c>
      <c r="C140" s="27" t="s">
        <v>199</v>
      </c>
      <c r="D140" s="27" t="s">
        <v>99</v>
      </c>
      <c r="E140" s="29">
        <v>45840</v>
      </c>
      <c r="F140" s="22" t="s">
        <v>498</v>
      </c>
      <c r="G140" s="23">
        <v>3371.45</v>
      </c>
      <c r="H140" s="29">
        <v>45856</v>
      </c>
      <c r="I140" s="13" t="s">
        <v>597</v>
      </c>
      <c r="J140">
        <v>23</v>
      </c>
    </row>
    <row r="141" spans="1:10" ht="28.95" customHeight="1" x14ac:dyDescent="0.3">
      <c r="A141" s="22" t="s">
        <v>598</v>
      </c>
      <c r="B141" s="22" t="s">
        <v>599</v>
      </c>
      <c r="C141" s="27" t="s">
        <v>199</v>
      </c>
      <c r="D141" s="27" t="s">
        <v>99</v>
      </c>
      <c r="E141" s="29">
        <v>45868</v>
      </c>
      <c r="F141" s="22" t="s">
        <v>600</v>
      </c>
      <c r="G141" s="23">
        <v>1160.1600000000001</v>
      </c>
      <c r="H141" s="29">
        <v>45883</v>
      </c>
      <c r="I141" s="13" t="s">
        <v>601</v>
      </c>
      <c r="J141">
        <v>23</v>
      </c>
    </row>
    <row r="142" spans="1:10" ht="28.95" customHeight="1" x14ac:dyDescent="0.3">
      <c r="A142" s="22" t="s">
        <v>602</v>
      </c>
      <c r="B142" s="22" t="s">
        <v>603</v>
      </c>
      <c r="C142" s="27" t="s">
        <v>199</v>
      </c>
      <c r="D142" s="27" t="s">
        <v>99</v>
      </c>
      <c r="E142" s="29">
        <v>45896</v>
      </c>
      <c r="F142" s="22" t="s">
        <v>498</v>
      </c>
      <c r="G142" s="23">
        <v>1950.48</v>
      </c>
      <c r="H142" s="29">
        <v>45931</v>
      </c>
      <c r="I142" s="13" t="s">
        <v>604</v>
      </c>
      <c r="J142">
        <v>23</v>
      </c>
    </row>
    <row r="143" spans="1:10" ht="28.95" customHeight="1" x14ac:dyDescent="0.3">
      <c r="A143" s="22" t="s">
        <v>605</v>
      </c>
      <c r="B143" s="22" t="s">
        <v>606</v>
      </c>
      <c r="C143" s="27" t="s">
        <v>199</v>
      </c>
      <c r="D143" s="27" t="s">
        <v>99</v>
      </c>
      <c r="E143" s="29">
        <v>45861</v>
      </c>
      <c r="F143" s="22" t="s">
        <v>607</v>
      </c>
      <c r="G143" s="23">
        <v>12345.8</v>
      </c>
      <c r="H143" s="29">
        <v>45945</v>
      </c>
      <c r="I143" s="13" t="s">
        <v>608</v>
      </c>
      <c r="J143">
        <v>23</v>
      </c>
    </row>
    <row r="144" spans="1:10" ht="28.95" customHeight="1" x14ac:dyDescent="0.3">
      <c r="A144" s="22" t="s">
        <v>609</v>
      </c>
      <c r="B144" s="22" t="s">
        <v>610</v>
      </c>
      <c r="C144" s="27" t="s">
        <v>199</v>
      </c>
      <c r="D144" s="27" t="s">
        <v>99</v>
      </c>
      <c r="E144" s="29">
        <v>45931</v>
      </c>
      <c r="F144" s="22" t="s">
        <v>498</v>
      </c>
      <c r="G144" s="23">
        <v>2502.4899999999998</v>
      </c>
      <c r="H144" s="29">
        <v>45950</v>
      </c>
      <c r="I144" s="13" t="s">
        <v>611</v>
      </c>
      <c r="J144">
        <v>23</v>
      </c>
    </row>
    <row r="145" spans="1:10" ht="29.25" customHeight="1" x14ac:dyDescent="0.3">
      <c r="A145" s="22" t="s">
        <v>612</v>
      </c>
      <c r="B145" s="22" t="s">
        <v>613</v>
      </c>
      <c r="C145" s="27" t="s">
        <v>199</v>
      </c>
      <c r="D145" s="27" t="s">
        <v>99</v>
      </c>
      <c r="E145" s="29">
        <v>45931</v>
      </c>
      <c r="F145" s="22" t="s">
        <v>614</v>
      </c>
      <c r="G145" s="23">
        <v>619.04999999999995</v>
      </c>
      <c r="H145" s="29">
        <v>45966</v>
      </c>
      <c r="I145" s="13" t="s">
        <v>615</v>
      </c>
      <c r="J145">
        <v>23</v>
      </c>
    </row>
    <row r="146" spans="1:10" ht="28.95" customHeight="1" x14ac:dyDescent="0.3">
      <c r="A146" s="22" t="s">
        <v>616</v>
      </c>
      <c r="B146" s="22" t="s">
        <v>617</v>
      </c>
      <c r="C146" s="27" t="s">
        <v>199</v>
      </c>
      <c r="D146" s="27" t="s">
        <v>99</v>
      </c>
      <c r="E146" s="29">
        <v>45959</v>
      </c>
      <c r="F146" s="22" t="s">
        <v>346</v>
      </c>
      <c r="G146" s="23">
        <v>12345.8</v>
      </c>
      <c r="H146" s="29">
        <v>45973</v>
      </c>
      <c r="I146" s="13" t="s">
        <v>618</v>
      </c>
      <c r="J146">
        <v>23</v>
      </c>
    </row>
    <row r="147" spans="1:10" ht="28.95" customHeight="1" x14ac:dyDescent="0.3">
      <c r="A147" s="22" t="s">
        <v>619</v>
      </c>
      <c r="B147" s="21" t="s">
        <v>620</v>
      </c>
      <c r="C147" s="27" t="s">
        <v>199</v>
      </c>
      <c r="D147" s="27" t="s">
        <v>134</v>
      </c>
      <c r="E147" s="29">
        <v>45742</v>
      </c>
      <c r="F147" s="22" t="s">
        <v>621</v>
      </c>
      <c r="G147" s="23">
        <v>870779.21</v>
      </c>
      <c r="H147" s="29">
        <v>45831</v>
      </c>
      <c r="J147">
        <v>25.1</v>
      </c>
    </row>
    <row r="148" spans="1:10" ht="43.2" customHeight="1" x14ac:dyDescent="0.3">
      <c r="A148" s="22" t="s">
        <v>622</v>
      </c>
      <c r="B148" s="22" t="s">
        <v>623</v>
      </c>
      <c r="C148" s="27" t="s">
        <v>624</v>
      </c>
      <c r="D148" s="27" t="s">
        <v>14</v>
      </c>
      <c r="E148" s="33" t="s">
        <v>213</v>
      </c>
      <c r="F148" s="22" t="s">
        <v>625</v>
      </c>
      <c r="G148" s="36" t="s">
        <v>626</v>
      </c>
      <c r="H148" s="29">
        <v>45684</v>
      </c>
      <c r="J148">
        <v>140.30000000000001</v>
      </c>
    </row>
    <row r="149" spans="1:10" x14ac:dyDescent="0.3">
      <c r="A149" s="32" t="s">
        <v>627</v>
      </c>
      <c r="B149" s="22" t="s">
        <v>628</v>
      </c>
      <c r="C149" s="27" t="s">
        <v>624</v>
      </c>
      <c r="D149" s="27" t="s">
        <v>14</v>
      </c>
      <c r="E149" s="33" t="s">
        <v>55</v>
      </c>
      <c r="F149" s="22" t="s">
        <v>629</v>
      </c>
      <c r="G149" s="34" t="s">
        <v>630</v>
      </c>
      <c r="H149" s="33" t="s">
        <v>631</v>
      </c>
      <c r="I149" s="13" t="s">
        <v>632</v>
      </c>
      <c r="J149">
        <v>140.30000000000001</v>
      </c>
    </row>
    <row r="150" spans="1:10" ht="28.95" customHeight="1" x14ac:dyDescent="0.3">
      <c r="A150" s="22" t="s">
        <v>633</v>
      </c>
      <c r="B150" s="22" t="s">
        <v>634</v>
      </c>
      <c r="C150" s="27" t="s">
        <v>624</v>
      </c>
      <c r="D150" s="27" t="s">
        <v>14</v>
      </c>
      <c r="E150" s="33" t="s">
        <v>635</v>
      </c>
      <c r="F150" s="22" t="s">
        <v>636</v>
      </c>
      <c r="G150" s="34" t="s">
        <v>637</v>
      </c>
      <c r="H150" s="33" t="s">
        <v>203</v>
      </c>
      <c r="J150">
        <v>140.30000000000001</v>
      </c>
    </row>
    <row r="151" spans="1:10" ht="28.95" customHeight="1" x14ac:dyDescent="0.3">
      <c r="A151" s="22" t="s">
        <v>638</v>
      </c>
      <c r="B151" s="22" t="s">
        <v>639</v>
      </c>
      <c r="C151" s="27" t="s">
        <v>624</v>
      </c>
      <c r="D151" s="27" t="s">
        <v>14</v>
      </c>
      <c r="E151" s="33" t="s">
        <v>635</v>
      </c>
      <c r="F151" s="22" t="s">
        <v>640</v>
      </c>
      <c r="G151" s="34" t="s">
        <v>641</v>
      </c>
      <c r="H151" s="33" t="s">
        <v>203</v>
      </c>
      <c r="J151">
        <v>140.30000000000001</v>
      </c>
    </row>
    <row r="152" spans="1:10" ht="28.95" customHeight="1" x14ac:dyDescent="0.3">
      <c r="A152" s="22" t="s">
        <v>642</v>
      </c>
      <c r="B152" s="22" t="s">
        <v>643</v>
      </c>
      <c r="C152" s="27" t="s">
        <v>624</v>
      </c>
      <c r="D152" s="27" t="s">
        <v>14</v>
      </c>
      <c r="E152" s="33" t="s">
        <v>635</v>
      </c>
      <c r="F152" s="22" t="s">
        <v>644</v>
      </c>
      <c r="G152" s="34" t="s">
        <v>645</v>
      </c>
      <c r="H152" s="33" t="s">
        <v>203</v>
      </c>
      <c r="J152">
        <v>140.30000000000001</v>
      </c>
    </row>
    <row r="153" spans="1:10" ht="43.2" customHeight="1" x14ac:dyDescent="0.3">
      <c r="A153" s="22" t="s">
        <v>646</v>
      </c>
      <c r="B153" s="22" t="s">
        <v>647</v>
      </c>
      <c r="C153" s="27" t="s">
        <v>624</v>
      </c>
      <c r="D153" s="27" t="s">
        <v>14</v>
      </c>
      <c r="E153" s="33" t="s">
        <v>635</v>
      </c>
      <c r="F153" s="22" t="s">
        <v>648</v>
      </c>
      <c r="G153" s="36" t="s">
        <v>649</v>
      </c>
      <c r="H153" s="33" t="s">
        <v>203</v>
      </c>
      <c r="J153">
        <v>140.30000000000001</v>
      </c>
    </row>
    <row r="154" spans="1:10" x14ac:dyDescent="0.3">
      <c r="A154" s="32" t="s">
        <v>650</v>
      </c>
      <c r="B154" s="22" t="s">
        <v>651</v>
      </c>
      <c r="C154" s="27" t="s">
        <v>624</v>
      </c>
      <c r="D154" s="27" t="s">
        <v>14</v>
      </c>
      <c r="E154" s="33" t="s">
        <v>652</v>
      </c>
      <c r="F154" s="22" t="s">
        <v>653</v>
      </c>
      <c r="G154" s="34" t="s">
        <v>654</v>
      </c>
      <c r="H154" s="33" t="s">
        <v>203</v>
      </c>
      <c r="I154" s="13" t="s">
        <v>655</v>
      </c>
      <c r="J154">
        <v>140.30000000000001</v>
      </c>
    </row>
    <row r="155" spans="1:10" x14ac:dyDescent="0.3">
      <c r="A155" s="32" t="s">
        <v>656</v>
      </c>
      <c r="B155" s="22" t="s">
        <v>657</v>
      </c>
      <c r="C155" s="27" t="s">
        <v>624</v>
      </c>
      <c r="D155" s="27" t="s">
        <v>14</v>
      </c>
      <c r="E155" s="33" t="s">
        <v>387</v>
      </c>
      <c r="F155" s="22" t="s">
        <v>658</v>
      </c>
      <c r="G155" s="34" t="s">
        <v>659</v>
      </c>
      <c r="H155" s="33" t="s">
        <v>216</v>
      </c>
      <c r="I155" s="13" t="s">
        <v>660</v>
      </c>
      <c r="J155">
        <v>140.30000000000001</v>
      </c>
    </row>
    <row r="156" spans="1:10" x14ac:dyDescent="0.3">
      <c r="A156" s="32" t="s">
        <v>661</v>
      </c>
      <c r="B156" s="22" t="s">
        <v>662</v>
      </c>
      <c r="C156" s="27" t="s">
        <v>624</v>
      </c>
      <c r="D156" s="27" t="s">
        <v>14</v>
      </c>
      <c r="E156" s="33" t="s">
        <v>663</v>
      </c>
      <c r="F156" s="22" t="s">
        <v>664</v>
      </c>
      <c r="G156" s="34" t="s">
        <v>665</v>
      </c>
      <c r="H156" s="33" t="s">
        <v>666</v>
      </c>
      <c r="I156" s="13" t="s">
        <v>667</v>
      </c>
      <c r="J156">
        <v>140.30000000000001</v>
      </c>
    </row>
    <row r="157" spans="1:10" x14ac:dyDescent="0.3">
      <c r="A157" s="22" t="s">
        <v>668</v>
      </c>
      <c r="B157" s="22" t="s">
        <v>669</v>
      </c>
      <c r="C157" s="27" t="s">
        <v>624</v>
      </c>
      <c r="D157" s="27" t="s">
        <v>14</v>
      </c>
      <c r="E157" s="29">
        <v>45742</v>
      </c>
      <c r="F157" s="22" t="s">
        <v>670</v>
      </c>
      <c r="G157" s="23">
        <v>316313.65999999997</v>
      </c>
      <c r="H157" s="29">
        <v>45864</v>
      </c>
      <c r="I157" s="13" t="s">
        <v>671</v>
      </c>
      <c r="J157">
        <v>140.30000000000001</v>
      </c>
    </row>
    <row r="158" spans="1:10" x14ac:dyDescent="0.3">
      <c r="A158" s="22" t="s">
        <v>672</v>
      </c>
      <c r="B158" s="22" t="s">
        <v>673</v>
      </c>
      <c r="C158" s="27" t="s">
        <v>624</v>
      </c>
      <c r="D158" s="27" t="s">
        <v>14</v>
      </c>
      <c r="E158" s="29">
        <v>45749</v>
      </c>
      <c r="F158" s="22" t="s">
        <v>674</v>
      </c>
      <c r="G158" s="23">
        <v>207400.07</v>
      </c>
      <c r="H158" s="29">
        <v>45888</v>
      </c>
      <c r="I158" s="13" t="s">
        <v>675</v>
      </c>
      <c r="J158">
        <v>140.30000000000001</v>
      </c>
    </row>
    <row r="159" spans="1:10" ht="28.95" customHeight="1" x14ac:dyDescent="0.3">
      <c r="A159" s="22" t="s">
        <v>676</v>
      </c>
      <c r="B159" s="22" t="s">
        <v>677</v>
      </c>
      <c r="C159" s="27" t="s">
        <v>624</v>
      </c>
      <c r="D159" s="27" t="s">
        <v>14</v>
      </c>
      <c r="E159" s="29">
        <v>45784</v>
      </c>
      <c r="F159" s="22" t="s">
        <v>678</v>
      </c>
      <c r="G159" s="23">
        <v>219600</v>
      </c>
      <c r="H159" s="29">
        <v>45933</v>
      </c>
      <c r="J159">
        <v>140.30000000000001</v>
      </c>
    </row>
    <row r="160" spans="1:10" ht="28.95" customHeight="1" x14ac:dyDescent="0.3">
      <c r="A160" s="22" t="s">
        <v>679</v>
      </c>
      <c r="B160" s="22" t="s">
        <v>680</v>
      </c>
      <c r="C160" s="27" t="s">
        <v>624</v>
      </c>
      <c r="D160" s="27" t="s">
        <v>14</v>
      </c>
      <c r="E160" s="29">
        <v>45826</v>
      </c>
      <c r="F160" s="22" t="s">
        <v>681</v>
      </c>
      <c r="G160" s="31" t="s">
        <v>682</v>
      </c>
      <c r="H160" s="29">
        <v>45965</v>
      </c>
      <c r="I160" s="16" t="s">
        <v>683</v>
      </c>
      <c r="J160">
        <v>140.30000000000001</v>
      </c>
    </row>
    <row r="161" spans="1:10" ht="28.95" customHeight="1" x14ac:dyDescent="0.3">
      <c r="A161" s="22" t="s">
        <v>684</v>
      </c>
      <c r="B161" s="22" t="s">
        <v>685</v>
      </c>
      <c r="C161" s="27" t="s">
        <v>624</v>
      </c>
      <c r="D161" s="27" t="s">
        <v>14</v>
      </c>
      <c r="E161" s="29">
        <v>45819</v>
      </c>
      <c r="F161" s="22" t="s">
        <v>686</v>
      </c>
      <c r="G161" s="23">
        <v>57354</v>
      </c>
      <c r="H161" s="29">
        <v>45973</v>
      </c>
      <c r="J161">
        <v>140.30000000000001</v>
      </c>
    </row>
    <row r="162" spans="1:10" ht="28.95" customHeight="1" x14ac:dyDescent="0.3">
      <c r="A162" s="22" t="s">
        <v>687</v>
      </c>
      <c r="B162" s="22" t="s">
        <v>688</v>
      </c>
      <c r="C162" s="27" t="s">
        <v>624</v>
      </c>
      <c r="D162" s="27" t="s">
        <v>14</v>
      </c>
      <c r="E162" s="29">
        <v>45819</v>
      </c>
      <c r="F162" s="22" t="s">
        <v>689</v>
      </c>
      <c r="G162" s="31" t="s">
        <v>690</v>
      </c>
      <c r="H162" s="29">
        <v>45975</v>
      </c>
      <c r="I162" s="16" t="s">
        <v>691</v>
      </c>
      <c r="J162">
        <v>140.30000000000001</v>
      </c>
    </row>
    <row r="163" spans="1:10" x14ac:dyDescent="0.3">
      <c r="A163" s="22" t="s">
        <v>692</v>
      </c>
      <c r="B163" s="22" t="s">
        <v>693</v>
      </c>
      <c r="C163" s="27" t="s">
        <v>624</v>
      </c>
      <c r="D163" s="27" t="s">
        <v>14</v>
      </c>
      <c r="E163" s="29">
        <v>45896</v>
      </c>
      <c r="F163" s="22" t="s">
        <v>694</v>
      </c>
      <c r="G163" s="23">
        <v>159320.70000000001</v>
      </c>
      <c r="H163" s="29">
        <v>46014</v>
      </c>
      <c r="I163" s="13" t="s">
        <v>695</v>
      </c>
      <c r="J163">
        <v>140.30000000000001</v>
      </c>
    </row>
    <row r="164" spans="1:10" ht="28.95" customHeight="1" x14ac:dyDescent="0.3">
      <c r="A164" s="22" t="s">
        <v>696</v>
      </c>
      <c r="B164" s="22" t="s">
        <v>697</v>
      </c>
      <c r="C164" s="27" t="s">
        <v>624</v>
      </c>
      <c r="D164" s="27" t="s">
        <v>37</v>
      </c>
      <c r="E164" s="29">
        <v>45756</v>
      </c>
      <c r="F164" s="22" t="s">
        <v>698</v>
      </c>
      <c r="G164" s="23">
        <v>36178.32</v>
      </c>
      <c r="H164" s="29">
        <v>45882</v>
      </c>
      <c r="I164" s="13" t="s">
        <v>699</v>
      </c>
      <c r="J164">
        <v>100.1</v>
      </c>
    </row>
    <row r="165" spans="1:10" x14ac:dyDescent="0.3">
      <c r="A165" s="22" t="s">
        <v>700</v>
      </c>
      <c r="B165" s="22" t="s">
        <v>701</v>
      </c>
      <c r="C165" s="27" t="s">
        <v>624</v>
      </c>
      <c r="D165" s="27" t="s">
        <v>37</v>
      </c>
      <c r="E165" s="29">
        <v>45847</v>
      </c>
      <c r="F165" s="22" t="s">
        <v>702</v>
      </c>
      <c r="G165" s="23">
        <v>17964</v>
      </c>
      <c r="H165" s="29">
        <v>45978</v>
      </c>
      <c r="I165" s="13" t="s">
        <v>703</v>
      </c>
      <c r="J165">
        <v>100.1</v>
      </c>
    </row>
    <row r="166" spans="1:10" ht="28.95" customHeight="1" x14ac:dyDescent="0.3">
      <c r="A166" s="22" t="s">
        <v>704</v>
      </c>
      <c r="B166" s="22" t="s">
        <v>705</v>
      </c>
      <c r="C166" s="27" t="s">
        <v>624</v>
      </c>
      <c r="D166" s="27" t="s">
        <v>37</v>
      </c>
      <c r="E166" s="29">
        <v>45791</v>
      </c>
      <c r="F166" s="22" t="s">
        <v>706</v>
      </c>
      <c r="G166" s="23">
        <v>19308.38</v>
      </c>
      <c r="H166" s="29">
        <v>45951</v>
      </c>
      <c r="I166" s="16" t="s">
        <v>707</v>
      </c>
      <c r="J166">
        <v>100.1</v>
      </c>
    </row>
    <row r="167" spans="1:10" ht="28.95" customHeight="1" x14ac:dyDescent="0.3">
      <c r="A167" s="22" t="s">
        <v>708</v>
      </c>
      <c r="B167" s="22" t="s">
        <v>709</v>
      </c>
      <c r="C167" s="27" t="s">
        <v>624</v>
      </c>
      <c r="D167" s="27" t="s">
        <v>37</v>
      </c>
      <c r="E167" s="29">
        <v>45875</v>
      </c>
      <c r="F167" s="22" t="s">
        <v>710</v>
      </c>
      <c r="G167" s="23">
        <v>7560</v>
      </c>
      <c r="H167" s="29">
        <v>45993</v>
      </c>
      <c r="I167" s="16" t="s">
        <v>711</v>
      </c>
      <c r="J167">
        <v>100.1</v>
      </c>
    </row>
    <row r="168" spans="1:10" ht="28.95" customHeight="1" x14ac:dyDescent="0.3">
      <c r="A168" s="22" t="s">
        <v>712</v>
      </c>
      <c r="B168" s="22" t="s">
        <v>713</v>
      </c>
      <c r="C168" s="27" t="s">
        <v>624</v>
      </c>
      <c r="D168" s="27" t="s">
        <v>37</v>
      </c>
      <c r="E168" s="29">
        <v>45875</v>
      </c>
      <c r="F168" s="22" t="s">
        <v>714</v>
      </c>
      <c r="G168" s="23">
        <v>5655</v>
      </c>
      <c r="H168" s="29">
        <v>45989</v>
      </c>
      <c r="I168" s="16" t="s">
        <v>711</v>
      </c>
      <c r="J168">
        <v>100.1</v>
      </c>
    </row>
    <row r="169" spans="1:10" ht="28.95" customHeight="1" x14ac:dyDescent="0.3">
      <c r="A169" s="22" t="s">
        <v>715</v>
      </c>
      <c r="B169" s="22" t="s">
        <v>716</v>
      </c>
      <c r="C169" s="27" t="s">
        <v>624</v>
      </c>
      <c r="D169" s="27" t="s">
        <v>37</v>
      </c>
      <c r="E169" s="29">
        <v>45875</v>
      </c>
      <c r="F169" s="22" t="s">
        <v>717</v>
      </c>
      <c r="G169" s="23">
        <v>11082.5</v>
      </c>
      <c r="H169" s="29">
        <v>45993</v>
      </c>
      <c r="I169" s="16" t="s">
        <v>711</v>
      </c>
      <c r="J169">
        <v>100.1</v>
      </c>
    </row>
    <row r="170" spans="1:10" x14ac:dyDescent="0.3">
      <c r="A170" s="22" t="s">
        <v>718</v>
      </c>
      <c r="B170" s="22" t="s">
        <v>719</v>
      </c>
      <c r="C170" s="27" t="s">
        <v>624</v>
      </c>
      <c r="D170" s="27" t="s">
        <v>37</v>
      </c>
      <c r="E170" s="29">
        <v>45931</v>
      </c>
      <c r="F170" s="22" t="s">
        <v>720</v>
      </c>
      <c r="G170" s="23">
        <v>82822.080000000002</v>
      </c>
      <c r="H170" s="29">
        <v>46007</v>
      </c>
      <c r="I170" s="13" t="s">
        <v>721</v>
      </c>
      <c r="J170">
        <v>100.1</v>
      </c>
    </row>
    <row r="171" spans="1:10" ht="28.95" customHeight="1" x14ac:dyDescent="0.3">
      <c r="A171" s="22" t="s">
        <v>722</v>
      </c>
      <c r="B171" s="22" t="s">
        <v>723</v>
      </c>
      <c r="C171" s="27" t="s">
        <v>624</v>
      </c>
      <c r="D171" s="27" t="s">
        <v>37</v>
      </c>
      <c r="E171" s="29">
        <v>45953</v>
      </c>
      <c r="F171" s="22" t="s">
        <v>724</v>
      </c>
      <c r="G171" s="23">
        <v>16940</v>
      </c>
      <c r="H171" s="29">
        <v>45996</v>
      </c>
      <c r="I171" s="16" t="s">
        <v>725</v>
      </c>
      <c r="J171">
        <v>100.1</v>
      </c>
    </row>
    <row r="172" spans="1:10" ht="28.95" customHeight="1" x14ac:dyDescent="0.3">
      <c r="A172" s="22" t="s">
        <v>726</v>
      </c>
      <c r="B172" s="22" t="s">
        <v>727</v>
      </c>
      <c r="C172" s="27" t="s">
        <v>624</v>
      </c>
      <c r="D172" s="27" t="s">
        <v>37</v>
      </c>
      <c r="E172" s="29">
        <v>45953</v>
      </c>
      <c r="F172" s="22" t="s">
        <v>728</v>
      </c>
      <c r="G172" s="23">
        <v>89526.69</v>
      </c>
      <c r="H172" s="29">
        <v>45996</v>
      </c>
      <c r="I172" s="16" t="s">
        <v>725</v>
      </c>
      <c r="J172">
        <v>100.1</v>
      </c>
    </row>
    <row r="173" spans="1:10" ht="28.95" customHeight="1" x14ac:dyDescent="0.3">
      <c r="A173" s="32" t="s">
        <v>729</v>
      </c>
      <c r="B173" s="22" t="s">
        <v>730</v>
      </c>
      <c r="C173" s="27" t="s">
        <v>624</v>
      </c>
      <c r="D173" s="27" t="s">
        <v>27</v>
      </c>
      <c r="E173" s="33" t="s">
        <v>731</v>
      </c>
      <c r="F173" s="22" t="s">
        <v>732</v>
      </c>
      <c r="G173" s="24">
        <v>18234.7</v>
      </c>
      <c r="H173" s="33" t="s">
        <v>733</v>
      </c>
      <c r="I173" s="13" t="s">
        <v>734</v>
      </c>
      <c r="J173">
        <v>73.400000000000006</v>
      </c>
    </row>
    <row r="174" spans="1:10" ht="28.95" customHeight="1" x14ac:dyDescent="0.3">
      <c r="A174" s="22" t="s">
        <v>735</v>
      </c>
      <c r="B174" s="22" t="s">
        <v>736</v>
      </c>
      <c r="C174" s="27" t="s">
        <v>624</v>
      </c>
      <c r="D174" s="27" t="s">
        <v>27</v>
      </c>
      <c r="E174" s="29">
        <v>45812</v>
      </c>
      <c r="F174" s="22" t="s">
        <v>737</v>
      </c>
      <c r="G174" s="23">
        <v>2289.41</v>
      </c>
      <c r="H174" s="29">
        <v>45904</v>
      </c>
      <c r="I174" s="13" t="s">
        <v>738</v>
      </c>
      <c r="J174">
        <v>73.400000000000006</v>
      </c>
    </row>
    <row r="175" spans="1:10" ht="28.95" customHeight="1" x14ac:dyDescent="0.3">
      <c r="A175" s="22" t="s">
        <v>739</v>
      </c>
      <c r="B175" s="22" t="s">
        <v>740</v>
      </c>
      <c r="C175" s="27" t="s">
        <v>624</v>
      </c>
      <c r="D175" s="27" t="s">
        <v>27</v>
      </c>
      <c r="E175" s="29">
        <v>45826</v>
      </c>
      <c r="F175" s="22" t="s">
        <v>741</v>
      </c>
      <c r="G175" s="23">
        <v>7553.7</v>
      </c>
      <c r="H175" s="29">
        <v>45870</v>
      </c>
      <c r="I175" s="13" t="s">
        <v>742</v>
      </c>
      <c r="J175">
        <v>73.400000000000006</v>
      </c>
    </row>
    <row r="176" spans="1:10" ht="28.95" customHeight="1" x14ac:dyDescent="0.3">
      <c r="A176" s="22" t="s">
        <v>743</v>
      </c>
      <c r="B176" s="22" t="s">
        <v>744</v>
      </c>
      <c r="C176" s="27" t="s">
        <v>624</v>
      </c>
      <c r="D176" s="27" t="s">
        <v>27</v>
      </c>
      <c r="E176" s="29">
        <v>45819</v>
      </c>
      <c r="F176" s="22" t="s">
        <v>745</v>
      </c>
      <c r="G176" s="23">
        <v>23462.94</v>
      </c>
      <c r="H176" s="29">
        <v>45849</v>
      </c>
      <c r="I176" s="13" t="s">
        <v>746</v>
      </c>
      <c r="J176">
        <v>73.400000000000006</v>
      </c>
    </row>
    <row r="177" spans="1:10" ht="28.95" customHeight="1" x14ac:dyDescent="0.3">
      <c r="A177" s="22" t="s">
        <v>747</v>
      </c>
      <c r="B177" s="22" t="s">
        <v>748</v>
      </c>
      <c r="C177" s="27" t="s">
        <v>624</v>
      </c>
      <c r="D177" s="27" t="s">
        <v>27</v>
      </c>
      <c r="E177" s="29">
        <v>45875</v>
      </c>
      <c r="F177" s="22" t="s">
        <v>412</v>
      </c>
      <c r="G177" s="23">
        <v>4828.1499999999996</v>
      </c>
      <c r="H177" s="29">
        <v>45980</v>
      </c>
      <c r="I177" s="13" t="s">
        <v>749</v>
      </c>
      <c r="J177">
        <v>73.400000000000006</v>
      </c>
    </row>
    <row r="178" spans="1:10" ht="28.95" customHeight="1" x14ac:dyDescent="0.3">
      <c r="A178" s="22" t="s">
        <v>750</v>
      </c>
      <c r="B178" s="22" t="s">
        <v>751</v>
      </c>
      <c r="C178" s="27" t="s">
        <v>624</v>
      </c>
      <c r="D178" s="27" t="s">
        <v>27</v>
      </c>
      <c r="E178" s="29">
        <v>45875</v>
      </c>
      <c r="F178" s="22" t="s">
        <v>752</v>
      </c>
      <c r="G178" s="23">
        <v>19297.64</v>
      </c>
      <c r="H178" s="29">
        <v>45995</v>
      </c>
      <c r="I178" s="16" t="s">
        <v>753</v>
      </c>
      <c r="J178">
        <v>73.400000000000006</v>
      </c>
    </row>
    <row r="179" spans="1:10" ht="28.95" customHeight="1" x14ac:dyDescent="0.3">
      <c r="A179" s="22" t="s">
        <v>754</v>
      </c>
      <c r="B179" s="22" t="s">
        <v>755</v>
      </c>
      <c r="C179" s="27" t="s">
        <v>624</v>
      </c>
      <c r="D179" s="27" t="s">
        <v>27</v>
      </c>
      <c r="E179" s="29">
        <v>45875</v>
      </c>
      <c r="F179" s="22" t="s">
        <v>756</v>
      </c>
      <c r="G179" s="23">
        <v>23833.64</v>
      </c>
      <c r="H179" s="29">
        <v>45995</v>
      </c>
      <c r="I179" s="16" t="s">
        <v>753</v>
      </c>
      <c r="J179">
        <v>73.400000000000006</v>
      </c>
    </row>
    <row r="180" spans="1:10" ht="28.95" customHeight="1" x14ac:dyDescent="0.3">
      <c r="A180" s="22" t="s">
        <v>757</v>
      </c>
      <c r="B180" s="22" t="s">
        <v>758</v>
      </c>
      <c r="C180" s="27" t="s">
        <v>624</v>
      </c>
      <c r="D180" s="27" t="s">
        <v>27</v>
      </c>
      <c r="E180" s="29">
        <v>45875</v>
      </c>
      <c r="F180" s="22" t="s">
        <v>759</v>
      </c>
      <c r="G180" s="23">
        <v>35722.94</v>
      </c>
      <c r="H180" s="29">
        <v>45995</v>
      </c>
      <c r="I180" s="16" t="s">
        <v>753</v>
      </c>
      <c r="J180">
        <v>73.400000000000006</v>
      </c>
    </row>
    <row r="181" spans="1:10" ht="28.95" customHeight="1" x14ac:dyDescent="0.3">
      <c r="A181" s="22" t="s">
        <v>760</v>
      </c>
      <c r="B181" s="22" t="s">
        <v>761</v>
      </c>
      <c r="C181" s="27" t="s">
        <v>624</v>
      </c>
      <c r="D181" s="27" t="s">
        <v>27</v>
      </c>
      <c r="E181" s="29">
        <v>45875</v>
      </c>
      <c r="F181" s="22" t="s">
        <v>762</v>
      </c>
      <c r="G181" s="23">
        <v>4801.16</v>
      </c>
      <c r="H181" s="29">
        <v>45995</v>
      </c>
      <c r="I181" s="16" t="s">
        <v>753</v>
      </c>
      <c r="J181">
        <v>73.400000000000006</v>
      </c>
    </row>
    <row r="182" spans="1:10" ht="28.95" customHeight="1" x14ac:dyDescent="0.3">
      <c r="A182" s="22" t="s">
        <v>763</v>
      </c>
      <c r="B182" s="22" t="s">
        <v>764</v>
      </c>
      <c r="C182" s="27" t="s">
        <v>624</v>
      </c>
      <c r="D182" s="27" t="s">
        <v>27</v>
      </c>
      <c r="E182" s="29">
        <v>45853</v>
      </c>
      <c r="F182" s="22" t="s">
        <v>765</v>
      </c>
      <c r="G182" s="31" t="s">
        <v>766</v>
      </c>
      <c r="H182" s="29">
        <v>45924</v>
      </c>
      <c r="I182" s="16" t="s">
        <v>767</v>
      </c>
      <c r="J182">
        <v>73.400000000000006</v>
      </c>
    </row>
    <row r="183" spans="1:10" ht="28.95" customHeight="1" x14ac:dyDescent="0.3">
      <c r="A183" s="22" t="s">
        <v>768</v>
      </c>
      <c r="B183" s="22" t="s">
        <v>769</v>
      </c>
      <c r="C183" s="27" t="s">
        <v>624</v>
      </c>
      <c r="D183" s="27" t="s">
        <v>27</v>
      </c>
      <c r="E183" s="29">
        <v>45931</v>
      </c>
      <c r="F183" s="22" t="s">
        <v>770</v>
      </c>
      <c r="G183" s="23">
        <v>14593.42</v>
      </c>
      <c r="H183" s="29">
        <v>46007</v>
      </c>
      <c r="I183" s="13" t="s">
        <v>771</v>
      </c>
      <c r="J183">
        <v>73.400000000000006</v>
      </c>
    </row>
    <row r="184" spans="1:10" ht="28.95" customHeight="1" x14ac:dyDescent="0.3">
      <c r="A184" s="22" t="s">
        <v>772</v>
      </c>
      <c r="B184" s="22" t="s">
        <v>773</v>
      </c>
      <c r="C184" s="27" t="s">
        <v>624</v>
      </c>
      <c r="D184" s="27" t="s">
        <v>27</v>
      </c>
      <c r="E184" s="29">
        <v>45938</v>
      </c>
      <c r="F184" s="22" t="s">
        <v>774</v>
      </c>
      <c r="G184" s="23">
        <v>72479</v>
      </c>
      <c r="H184" s="29">
        <v>46009</v>
      </c>
      <c r="I184" s="13" t="s">
        <v>775</v>
      </c>
      <c r="J184">
        <v>73.400000000000006</v>
      </c>
    </row>
    <row r="185" spans="1:10" ht="28.95" customHeight="1" x14ac:dyDescent="0.3">
      <c r="A185" s="22" t="s">
        <v>776</v>
      </c>
      <c r="B185" s="22" t="s">
        <v>777</v>
      </c>
      <c r="C185" s="27" t="s">
        <v>624</v>
      </c>
      <c r="D185" s="27" t="s">
        <v>27</v>
      </c>
      <c r="E185" s="29">
        <v>45952</v>
      </c>
      <c r="F185" s="22" t="s">
        <v>778</v>
      </c>
      <c r="G185" s="23">
        <v>61019.09</v>
      </c>
      <c r="H185" s="29">
        <v>45995</v>
      </c>
      <c r="I185" s="13" t="s">
        <v>779</v>
      </c>
      <c r="J185">
        <v>73.400000000000006</v>
      </c>
    </row>
    <row r="186" spans="1:10" ht="28.95" customHeight="1" x14ac:dyDescent="0.3">
      <c r="A186" s="22" t="s">
        <v>780</v>
      </c>
      <c r="B186" s="22" t="s">
        <v>781</v>
      </c>
      <c r="C186" s="27" t="s">
        <v>624</v>
      </c>
      <c r="D186" s="27" t="s">
        <v>782</v>
      </c>
      <c r="E186" s="29">
        <v>45853</v>
      </c>
      <c r="F186" s="22" t="s">
        <v>783</v>
      </c>
      <c r="G186" s="23">
        <v>3961.58</v>
      </c>
      <c r="H186" s="29">
        <v>45982</v>
      </c>
      <c r="I186" s="16" t="s">
        <v>784</v>
      </c>
      <c r="J186">
        <v>129</v>
      </c>
    </row>
    <row r="187" spans="1:10" ht="28.95" customHeight="1" x14ac:dyDescent="0.3">
      <c r="A187" s="25" t="s">
        <v>785</v>
      </c>
      <c r="B187" s="25" t="s">
        <v>786</v>
      </c>
      <c r="C187" s="28" t="s">
        <v>624</v>
      </c>
      <c r="D187" s="28" t="s">
        <v>782</v>
      </c>
      <c r="E187" s="30">
        <v>45853</v>
      </c>
      <c r="F187" s="25" t="s">
        <v>787</v>
      </c>
      <c r="G187" s="26">
        <v>729.96</v>
      </c>
      <c r="H187" s="30">
        <v>44521</v>
      </c>
      <c r="I187" s="16" t="s">
        <v>784</v>
      </c>
      <c r="J187">
        <v>129</v>
      </c>
    </row>
    <row r="188" spans="1:10" x14ac:dyDescent="0.3">
      <c r="A188" s="32" t="s">
        <v>788</v>
      </c>
      <c r="B188" s="22" t="s">
        <v>789</v>
      </c>
      <c r="C188" s="27" t="s">
        <v>624</v>
      </c>
      <c r="D188" s="27" t="s">
        <v>99</v>
      </c>
      <c r="E188" s="33" t="s">
        <v>790</v>
      </c>
      <c r="F188" s="22" t="s">
        <v>791</v>
      </c>
      <c r="G188" s="34" t="s">
        <v>792</v>
      </c>
      <c r="H188" s="33" t="s">
        <v>473</v>
      </c>
      <c r="I188" s="13" t="s">
        <v>793</v>
      </c>
      <c r="J188">
        <v>23</v>
      </c>
    </row>
    <row r="189" spans="1:10" x14ac:dyDescent="0.3">
      <c r="A189" s="22" t="s">
        <v>794</v>
      </c>
      <c r="B189" s="22" t="s">
        <v>795</v>
      </c>
      <c r="C189" s="27" t="s">
        <v>624</v>
      </c>
      <c r="D189" s="27" t="s">
        <v>99</v>
      </c>
      <c r="E189" s="29">
        <v>45840</v>
      </c>
      <c r="F189" s="22" t="s">
        <v>796</v>
      </c>
      <c r="G189" s="23">
        <v>510000</v>
      </c>
      <c r="H189" s="29">
        <v>45840</v>
      </c>
      <c r="I189" s="13" t="s">
        <v>797</v>
      </c>
      <c r="J189">
        <v>23</v>
      </c>
    </row>
    <row r="190" spans="1:10" x14ac:dyDescent="0.3">
      <c r="A190" s="22" t="s">
        <v>798</v>
      </c>
      <c r="B190" s="22" t="s">
        <v>799</v>
      </c>
      <c r="C190" s="27" t="s">
        <v>624</v>
      </c>
      <c r="D190" s="27" t="s">
        <v>99</v>
      </c>
      <c r="E190" s="29">
        <v>45973</v>
      </c>
      <c r="F190" s="22" t="s">
        <v>800</v>
      </c>
      <c r="G190" s="23">
        <v>3958.35</v>
      </c>
      <c r="H190" s="29">
        <v>45975</v>
      </c>
      <c r="I190" s="13" t="s">
        <v>801</v>
      </c>
      <c r="J190">
        <v>23</v>
      </c>
    </row>
    <row r="191" spans="1:10" x14ac:dyDescent="0.3">
      <c r="A191" s="25" t="s">
        <v>802</v>
      </c>
      <c r="B191" s="25" t="s">
        <v>803</v>
      </c>
      <c r="C191" s="28" t="s">
        <v>624</v>
      </c>
      <c r="D191" s="28" t="s">
        <v>99</v>
      </c>
      <c r="E191" s="30">
        <v>45994</v>
      </c>
      <c r="F191" s="25" t="s">
        <v>800</v>
      </c>
      <c r="G191" s="26">
        <v>39716.949999999997</v>
      </c>
      <c r="H191" s="30">
        <v>46010</v>
      </c>
      <c r="I191" s="13" t="s">
        <v>804</v>
      </c>
      <c r="J191">
        <v>23</v>
      </c>
    </row>
    <row r="192" spans="1:10" x14ac:dyDescent="0.3">
      <c r="A192" s="22" t="s">
        <v>805</v>
      </c>
      <c r="B192" s="22" t="s">
        <v>806</v>
      </c>
      <c r="C192" s="27" t="s">
        <v>624</v>
      </c>
      <c r="D192" s="27" t="s">
        <v>134</v>
      </c>
      <c r="E192" s="29">
        <v>45945</v>
      </c>
      <c r="F192" s="22" t="s">
        <v>807</v>
      </c>
      <c r="G192" s="23">
        <v>60669.4</v>
      </c>
      <c r="H192" s="29">
        <v>46003</v>
      </c>
      <c r="I192" s="13" t="s">
        <v>808</v>
      </c>
      <c r="J192">
        <v>25.1</v>
      </c>
    </row>
    <row r="193" spans="1:10" x14ac:dyDescent="0.3">
      <c r="A193" s="25" t="s">
        <v>809</v>
      </c>
      <c r="B193" s="25" t="s">
        <v>810</v>
      </c>
      <c r="C193" s="28" t="s">
        <v>624</v>
      </c>
      <c r="D193" s="28" t="s">
        <v>134</v>
      </c>
      <c r="E193" s="30">
        <v>45994</v>
      </c>
      <c r="F193" s="25" t="s">
        <v>811</v>
      </c>
      <c r="G193" s="26">
        <v>187550</v>
      </c>
      <c r="H193" s="30">
        <v>46009</v>
      </c>
      <c r="I193" s="13" t="s">
        <v>812</v>
      </c>
      <c r="J193">
        <v>25.1</v>
      </c>
    </row>
    <row r="194" spans="1:10" x14ac:dyDescent="0.3">
      <c r="A194" s="2"/>
      <c r="B194" s="2"/>
      <c r="C194" s="7"/>
      <c r="D194" s="7"/>
      <c r="E194" s="10"/>
      <c r="F194" s="2"/>
      <c r="G194" s="12"/>
      <c r="H194" s="10"/>
    </row>
    <row r="195" spans="1:10" x14ac:dyDescent="0.3">
      <c r="A195" s="1" t="s">
        <v>0</v>
      </c>
      <c r="B195" s="5" t="s">
        <v>1</v>
      </c>
      <c r="C195" s="8" t="s">
        <v>2</v>
      </c>
      <c r="D195" t="s">
        <v>3</v>
      </c>
      <c r="E195" s="9" t="s">
        <v>4</v>
      </c>
      <c r="F195" s="5" t="s">
        <v>5</v>
      </c>
      <c r="G195" t="s">
        <v>6</v>
      </c>
      <c r="H195" s="9" t="s">
        <v>7</v>
      </c>
      <c r="I195" s="20" t="s">
        <v>813</v>
      </c>
    </row>
    <row r="196" spans="1:10" ht="28.95" customHeight="1" x14ac:dyDescent="0.3">
      <c r="A196" s="2" t="s">
        <v>814</v>
      </c>
      <c r="B196" s="2" t="s">
        <v>815</v>
      </c>
      <c r="C196" s="7" t="s">
        <v>816</v>
      </c>
      <c r="D196" s="7" t="s">
        <v>14</v>
      </c>
      <c r="E196" s="6" t="s">
        <v>817</v>
      </c>
      <c r="F196" s="2" t="s">
        <v>818</v>
      </c>
      <c r="G196" s="4" t="s">
        <v>819</v>
      </c>
      <c r="H196" s="6" t="s">
        <v>820</v>
      </c>
      <c r="I196" s="17" t="s">
        <v>821</v>
      </c>
      <c r="J196">
        <v>140.30000000000001</v>
      </c>
    </row>
    <row r="197" spans="1:10" ht="28.95" customHeight="1" x14ac:dyDescent="0.3">
      <c r="A197" s="2" t="s">
        <v>822</v>
      </c>
      <c r="B197" s="2" t="s">
        <v>815</v>
      </c>
      <c r="C197" s="7" t="s">
        <v>816</v>
      </c>
      <c r="D197" s="7" t="s">
        <v>14</v>
      </c>
      <c r="E197" s="6" t="s">
        <v>817</v>
      </c>
      <c r="F197" s="2" t="s">
        <v>823</v>
      </c>
      <c r="G197" s="4" t="s">
        <v>824</v>
      </c>
      <c r="H197" s="6" t="s">
        <v>825</v>
      </c>
      <c r="I197" s="18" t="s">
        <v>821</v>
      </c>
      <c r="J197">
        <v>140.30000000000001</v>
      </c>
    </row>
    <row r="198" spans="1:10" ht="28.95" customHeight="1" x14ac:dyDescent="0.3">
      <c r="A198" s="2" t="s">
        <v>826</v>
      </c>
      <c r="B198" s="2" t="s">
        <v>827</v>
      </c>
      <c r="C198" s="7" t="s">
        <v>816</v>
      </c>
      <c r="D198" s="7" t="s">
        <v>14</v>
      </c>
      <c r="E198" s="10">
        <v>45805</v>
      </c>
      <c r="F198" s="2" t="s">
        <v>823</v>
      </c>
      <c r="G198" s="12" t="s">
        <v>828</v>
      </c>
      <c r="H198" s="10">
        <v>45826</v>
      </c>
      <c r="I198" s="15"/>
      <c r="J198">
        <v>140.30000000000001</v>
      </c>
    </row>
    <row r="199" spans="1:10" ht="28.95" customHeight="1" x14ac:dyDescent="0.3">
      <c r="A199" s="2" t="s">
        <v>829</v>
      </c>
      <c r="B199" s="2" t="s">
        <v>827</v>
      </c>
      <c r="C199" s="7" t="s">
        <v>816</v>
      </c>
      <c r="D199" s="7" t="s">
        <v>14</v>
      </c>
      <c r="E199" s="6" t="s">
        <v>817</v>
      </c>
      <c r="F199" s="2" t="s">
        <v>830</v>
      </c>
      <c r="G199" s="4" t="s">
        <v>831</v>
      </c>
      <c r="H199" s="6" t="s">
        <v>832</v>
      </c>
      <c r="I199" s="18" t="s">
        <v>833</v>
      </c>
      <c r="J199">
        <v>140.30000000000001</v>
      </c>
    </row>
    <row r="200" spans="1:10" ht="28.95" customHeight="1" x14ac:dyDescent="0.3">
      <c r="A200" s="2" t="s">
        <v>834</v>
      </c>
      <c r="B200" s="2" t="s">
        <v>835</v>
      </c>
      <c r="C200" s="7" t="s">
        <v>816</v>
      </c>
      <c r="D200" s="7" t="s">
        <v>14</v>
      </c>
      <c r="E200" s="6" t="s">
        <v>836</v>
      </c>
      <c r="F200" s="2" t="s">
        <v>837</v>
      </c>
      <c r="G200" s="4" t="s">
        <v>838</v>
      </c>
      <c r="H200" s="6" t="s">
        <v>839</v>
      </c>
      <c r="I200" s="14"/>
      <c r="J200">
        <v>140.30000000000001</v>
      </c>
    </row>
    <row r="201" spans="1:10" ht="28.95" customHeight="1" x14ac:dyDescent="0.3">
      <c r="A201" s="2" t="s">
        <v>840</v>
      </c>
      <c r="B201" s="2" t="s">
        <v>835</v>
      </c>
      <c r="C201" s="7" t="s">
        <v>816</v>
      </c>
      <c r="D201" s="7" t="s">
        <v>14</v>
      </c>
      <c r="E201" s="6" t="s">
        <v>836</v>
      </c>
      <c r="F201" s="2" t="s">
        <v>841</v>
      </c>
      <c r="G201" s="4" t="s">
        <v>842</v>
      </c>
      <c r="H201" s="6" t="s">
        <v>843</v>
      </c>
      <c r="I201" s="18" t="s">
        <v>844</v>
      </c>
      <c r="J201">
        <v>140.30000000000001</v>
      </c>
    </row>
    <row r="202" spans="1:10" ht="28.95" customHeight="1" x14ac:dyDescent="0.3">
      <c r="A202" s="2" t="s">
        <v>845</v>
      </c>
      <c r="B202" s="2" t="s">
        <v>835</v>
      </c>
      <c r="C202" s="7" t="s">
        <v>816</v>
      </c>
      <c r="D202" s="7" t="s">
        <v>14</v>
      </c>
      <c r="E202" s="6" t="s">
        <v>836</v>
      </c>
      <c r="F202" s="2" t="s">
        <v>846</v>
      </c>
      <c r="G202" s="4" t="s">
        <v>847</v>
      </c>
      <c r="H202" s="6" t="s">
        <v>467</v>
      </c>
      <c r="I202" s="19" t="s">
        <v>844</v>
      </c>
      <c r="J202">
        <v>140.30000000000001</v>
      </c>
    </row>
    <row r="203" spans="1:10" ht="28.95" customHeight="1" x14ac:dyDescent="0.3">
      <c r="A203" s="2" t="s">
        <v>848</v>
      </c>
      <c r="B203" s="2" t="s">
        <v>835</v>
      </c>
      <c r="C203" s="7" t="s">
        <v>816</v>
      </c>
      <c r="D203" s="7" t="s">
        <v>14</v>
      </c>
      <c r="E203" s="6" t="s">
        <v>836</v>
      </c>
      <c r="F203" s="2" t="s">
        <v>849</v>
      </c>
      <c r="G203" s="4" t="s">
        <v>850</v>
      </c>
      <c r="H203" s="6" t="s">
        <v>843</v>
      </c>
      <c r="I203" s="18" t="s">
        <v>844</v>
      </c>
      <c r="J203">
        <v>140.30000000000001</v>
      </c>
    </row>
    <row r="204" spans="1:10" ht="43.2" customHeight="1" x14ac:dyDescent="0.3">
      <c r="A204" s="2" t="s">
        <v>851</v>
      </c>
      <c r="B204" s="2" t="s">
        <v>835</v>
      </c>
      <c r="C204" s="7" t="s">
        <v>816</v>
      </c>
      <c r="D204" s="7" t="s">
        <v>14</v>
      </c>
      <c r="E204" s="6" t="s">
        <v>836</v>
      </c>
      <c r="F204" s="2" t="s">
        <v>852</v>
      </c>
      <c r="G204" s="11" t="s">
        <v>853</v>
      </c>
      <c r="H204" s="6" t="s">
        <v>467</v>
      </c>
      <c r="I204" s="19" t="s">
        <v>844</v>
      </c>
      <c r="J204">
        <v>140.30000000000001</v>
      </c>
    </row>
    <row r="205" spans="1:10" ht="28.95" customHeight="1" x14ac:dyDescent="0.3">
      <c r="A205" s="2" t="s">
        <v>854</v>
      </c>
      <c r="B205" s="2" t="s">
        <v>835</v>
      </c>
      <c r="C205" s="7" t="s">
        <v>816</v>
      </c>
      <c r="D205" s="7" t="s">
        <v>14</v>
      </c>
      <c r="E205" s="6" t="s">
        <v>836</v>
      </c>
      <c r="F205" s="2" t="s">
        <v>855</v>
      </c>
      <c r="G205" s="11" t="s">
        <v>856</v>
      </c>
      <c r="H205" s="6" t="s">
        <v>467</v>
      </c>
      <c r="I205" s="18" t="s">
        <v>844</v>
      </c>
      <c r="J205">
        <v>140.30000000000001</v>
      </c>
    </row>
    <row r="206" spans="1:10" ht="28.95" customHeight="1" x14ac:dyDescent="0.3">
      <c r="A206" s="2" t="s">
        <v>857</v>
      </c>
      <c r="B206" s="2" t="s">
        <v>835</v>
      </c>
      <c r="C206" s="7" t="s">
        <v>816</v>
      </c>
      <c r="D206" s="7" t="s">
        <v>14</v>
      </c>
      <c r="E206" s="6" t="s">
        <v>836</v>
      </c>
      <c r="F206" s="2" t="s">
        <v>858</v>
      </c>
      <c r="G206" s="11" t="s">
        <v>859</v>
      </c>
      <c r="H206" s="6" t="s">
        <v>248</v>
      </c>
      <c r="I206" s="19" t="s">
        <v>844</v>
      </c>
      <c r="J206">
        <v>140.30000000000001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56"/>
  <sheetViews>
    <sheetView topLeftCell="A17" zoomScaleNormal="100" zoomScaleSheetLayoutView="100" workbookViewId="0">
      <selection activeCell="F154" sqref="F154"/>
    </sheetView>
  </sheetViews>
  <sheetFormatPr baseColWidth="10" defaultColWidth="8.88671875" defaultRowHeight="14.4" x14ac:dyDescent="0.3"/>
  <cols>
    <col min="1" max="1" width="34" customWidth="1"/>
    <col min="2" max="2" width="19" customWidth="1"/>
    <col min="3" max="3" width="58" customWidth="1"/>
    <col min="4" max="4" width="62.6640625" customWidth="1"/>
    <col min="5" max="5" width="17" customWidth="1"/>
    <col min="6" max="6" width="22" customWidth="1"/>
  </cols>
  <sheetData>
    <row r="1" spans="1:6" ht="30" customHeight="1" x14ac:dyDescent="0.3">
      <c r="A1" s="76" t="s">
        <v>860</v>
      </c>
      <c r="B1" s="65"/>
      <c r="C1" s="65"/>
      <c r="D1" s="65"/>
      <c r="E1" s="65"/>
      <c r="F1" s="65"/>
    </row>
    <row r="2" spans="1:6" ht="21.9" customHeight="1" x14ac:dyDescent="0.3">
      <c r="A2" s="75" t="s">
        <v>861</v>
      </c>
      <c r="B2" s="65"/>
      <c r="C2" s="65"/>
      <c r="D2" s="65"/>
      <c r="E2" s="65"/>
      <c r="F2" s="65"/>
    </row>
    <row r="4" spans="1:6" ht="27.9" customHeight="1" x14ac:dyDescent="0.3">
      <c r="A4" s="41" t="s">
        <v>5</v>
      </c>
      <c r="B4" s="41" t="s">
        <v>862</v>
      </c>
      <c r="C4" s="41" t="s">
        <v>863</v>
      </c>
      <c r="D4" s="41" t="s">
        <v>864</v>
      </c>
      <c r="E4" s="41" t="s">
        <v>865</v>
      </c>
      <c r="F4" s="41" t="s">
        <v>866</v>
      </c>
    </row>
    <row r="5" spans="1:6" ht="28.95" customHeight="1" x14ac:dyDescent="0.3">
      <c r="A5" s="45" t="s">
        <v>221</v>
      </c>
      <c r="B5" s="46">
        <v>1</v>
      </c>
      <c r="C5" s="47">
        <v>238711</v>
      </c>
      <c r="D5" s="45" t="s">
        <v>218</v>
      </c>
      <c r="E5" s="45" t="str">
        <f>HYPERLINK("#'Resumen adjudicatarios'!A154","Ver contratos")</f>
        <v>Ver contratos</v>
      </c>
      <c r="F5" s="45"/>
    </row>
    <row r="6" spans="1:6" x14ac:dyDescent="0.3">
      <c r="A6" s="42" t="s">
        <v>67</v>
      </c>
      <c r="B6" s="43">
        <v>1</v>
      </c>
      <c r="C6" s="44">
        <v>164522.56</v>
      </c>
      <c r="D6" s="42" t="s">
        <v>65</v>
      </c>
      <c r="E6" s="42" t="str">
        <f>HYPERLINK("#'Resumen adjudicatarios'!A155","Ver contratos")</f>
        <v>Ver contratos</v>
      </c>
      <c r="F6" s="42"/>
    </row>
    <row r="7" spans="1:6" x14ac:dyDescent="0.3">
      <c r="A7" s="45" t="s">
        <v>243</v>
      </c>
      <c r="B7" s="46">
        <v>1</v>
      </c>
      <c r="C7" s="47">
        <v>273901.64</v>
      </c>
      <c r="D7" s="45" t="s">
        <v>241</v>
      </c>
      <c r="E7" s="45" t="str">
        <f>HYPERLINK("#'Resumen adjudicatarios'!A156","Ver contratos")</f>
        <v>Ver contratos</v>
      </c>
      <c r="F7" s="45"/>
    </row>
    <row r="8" spans="1:6" ht="28.95" customHeight="1" x14ac:dyDescent="0.3">
      <c r="A8" s="42" t="s">
        <v>745</v>
      </c>
      <c r="B8" s="43">
        <v>1</v>
      </c>
      <c r="C8" s="44">
        <v>23462.94</v>
      </c>
      <c r="D8" s="42" t="s">
        <v>743</v>
      </c>
      <c r="E8" s="42" t="str">
        <f>HYPERLINK("#'Resumen adjudicatarios'!A157","Ver contratos")</f>
        <v>Ver contratos</v>
      </c>
      <c r="F8" s="42"/>
    </row>
    <row r="9" spans="1:6" x14ac:dyDescent="0.3">
      <c r="A9" s="45" t="s">
        <v>87</v>
      </c>
      <c r="B9" s="46">
        <v>1</v>
      </c>
      <c r="C9" s="47">
        <v>200940.04</v>
      </c>
      <c r="D9" s="45" t="s">
        <v>85</v>
      </c>
      <c r="E9" s="45" t="str">
        <f>HYPERLINK("#'Resumen adjudicatarios'!A158","Ver contratos")</f>
        <v>Ver contratos</v>
      </c>
      <c r="F9" s="45"/>
    </row>
    <row r="10" spans="1:6" x14ac:dyDescent="0.3">
      <c r="A10" s="42" t="s">
        <v>377</v>
      </c>
      <c r="B10" s="43">
        <v>2</v>
      </c>
      <c r="C10" s="44">
        <v>109175</v>
      </c>
      <c r="D10" s="42" t="s">
        <v>867</v>
      </c>
      <c r="E10" s="42" t="str">
        <f>HYPERLINK("#'Resumen adjudicatarios'!A159","Ver contratos")</f>
        <v>Ver contratos</v>
      </c>
      <c r="F10" s="42"/>
    </row>
    <row r="11" spans="1:6" x14ac:dyDescent="0.3">
      <c r="A11" s="45" t="s">
        <v>868</v>
      </c>
      <c r="B11" s="46">
        <v>1</v>
      </c>
      <c r="C11" s="47">
        <v>3043150</v>
      </c>
      <c r="D11" s="45" t="s">
        <v>869</v>
      </c>
      <c r="E11" s="45" t="str">
        <f>HYPERLINK("#'Resumen adjudicatarios'!A161","Ver contratos")</f>
        <v>Ver contratos</v>
      </c>
      <c r="F11" s="45"/>
    </row>
    <row r="12" spans="1:6" x14ac:dyDescent="0.3">
      <c r="A12" s="42" t="s">
        <v>234</v>
      </c>
      <c r="B12" s="43">
        <v>1</v>
      </c>
      <c r="C12" s="44">
        <v>388471.71</v>
      </c>
      <c r="D12" s="42" t="s">
        <v>232</v>
      </c>
      <c r="E12" s="42" t="str">
        <f>HYPERLINK("#'Resumen adjudicatarios'!A162","Ver contratos")</f>
        <v>Ver contratos</v>
      </c>
      <c r="F12" s="42"/>
    </row>
    <row r="13" spans="1:6" x14ac:dyDescent="0.3">
      <c r="A13" s="45" t="s">
        <v>407</v>
      </c>
      <c r="B13" s="46">
        <v>1</v>
      </c>
      <c r="C13" s="47">
        <v>24625.67</v>
      </c>
      <c r="D13" s="45" t="s">
        <v>405</v>
      </c>
      <c r="E13" s="45" t="str">
        <f>HYPERLINK("#'Resumen adjudicatarios'!A163","Ver contratos")</f>
        <v>Ver contratos</v>
      </c>
      <c r="F13" s="45"/>
    </row>
    <row r="14" spans="1:6" x14ac:dyDescent="0.3">
      <c r="A14" s="42" t="s">
        <v>759</v>
      </c>
      <c r="B14" s="43">
        <v>2</v>
      </c>
      <c r="C14" s="44">
        <v>528202.93999999994</v>
      </c>
      <c r="D14" s="42" t="s">
        <v>870</v>
      </c>
      <c r="E14" s="42" t="str">
        <f>HYPERLINK("#'Resumen adjudicatarios'!A164","Ver contratos")</f>
        <v>Ver contratos</v>
      </c>
      <c r="F14" s="42"/>
    </row>
    <row r="15" spans="1:6" x14ac:dyDescent="0.3">
      <c r="A15" s="45" t="s">
        <v>694</v>
      </c>
      <c r="B15" s="46">
        <v>1</v>
      </c>
      <c r="C15" s="47">
        <v>159320.70000000001</v>
      </c>
      <c r="D15" s="45" t="s">
        <v>692</v>
      </c>
      <c r="E15" s="45" t="str">
        <f>HYPERLINK("#'Resumen adjudicatarios'!A166","Ver contratos")</f>
        <v>Ver contratos</v>
      </c>
      <c r="F15" s="45"/>
    </row>
    <row r="16" spans="1:6" x14ac:dyDescent="0.3">
      <c r="A16" s="42" t="s">
        <v>681</v>
      </c>
      <c r="B16" s="43">
        <v>1</v>
      </c>
      <c r="C16" s="44">
        <v>123954.44</v>
      </c>
      <c r="D16" s="42" t="s">
        <v>871</v>
      </c>
      <c r="E16" s="42" t="str">
        <f>HYPERLINK("#'Resumen adjudicatarios'!A167","Ver contratos")</f>
        <v>Ver contratos</v>
      </c>
      <c r="F16" s="42"/>
    </row>
    <row r="17" spans="1:6" x14ac:dyDescent="0.3">
      <c r="A17" s="45" t="s">
        <v>689</v>
      </c>
      <c r="B17" s="46">
        <v>1</v>
      </c>
      <c r="C17" s="47">
        <v>157892.9</v>
      </c>
      <c r="D17" s="45" t="s">
        <v>872</v>
      </c>
      <c r="E17" s="45" t="str">
        <f>HYPERLINK("#'Resumen adjudicatarios'!A168","Ver contratos")</f>
        <v>Ver contratos</v>
      </c>
      <c r="F17" s="45"/>
    </row>
    <row r="18" spans="1:6" x14ac:dyDescent="0.3">
      <c r="A18" s="42" t="s">
        <v>214</v>
      </c>
      <c r="B18" s="43">
        <v>1</v>
      </c>
      <c r="C18" s="44">
        <v>2622312</v>
      </c>
      <c r="D18" s="42" t="s">
        <v>211</v>
      </c>
      <c r="E18" s="42" t="str">
        <f>HYPERLINK("#'Resumen adjudicatarios'!A169","Ver contratos")</f>
        <v>Ver contratos</v>
      </c>
      <c r="F18" s="42"/>
    </row>
    <row r="19" spans="1:6" ht="43.2" customHeight="1" x14ac:dyDescent="0.3">
      <c r="A19" s="45" t="s">
        <v>129</v>
      </c>
      <c r="B19" s="46">
        <v>1</v>
      </c>
      <c r="C19" s="47">
        <v>61417.63</v>
      </c>
      <c r="D19" s="45" t="s">
        <v>127</v>
      </c>
      <c r="E19" s="45" t="str">
        <f>HYPERLINK("#'Resumen adjudicatarios'!A170","Ver contratos")</f>
        <v>Ver contratos</v>
      </c>
      <c r="F19" s="45"/>
    </row>
    <row r="20" spans="1:6" x14ac:dyDescent="0.3">
      <c r="A20" s="42" t="s">
        <v>366</v>
      </c>
      <c r="B20" s="43">
        <v>2</v>
      </c>
      <c r="C20" s="44">
        <v>86766.68</v>
      </c>
      <c r="D20" s="42" t="s">
        <v>873</v>
      </c>
      <c r="E20" s="42" t="str">
        <f>HYPERLINK("#'Resumen adjudicatarios'!A171","Ver contratos")</f>
        <v>Ver contratos</v>
      </c>
      <c r="F20" s="42"/>
    </row>
    <row r="21" spans="1:6" x14ac:dyDescent="0.3">
      <c r="A21" s="45" t="s">
        <v>874</v>
      </c>
      <c r="B21" s="46">
        <v>1</v>
      </c>
      <c r="C21" s="47">
        <v>102850</v>
      </c>
      <c r="D21" s="45" t="s">
        <v>164</v>
      </c>
      <c r="E21" s="45" t="str">
        <f>HYPERLINK("#'Resumen adjudicatarios'!A173","Ver contratos")</f>
        <v>Ver contratos</v>
      </c>
      <c r="F21" s="45"/>
    </row>
    <row r="22" spans="1:6" x14ac:dyDescent="0.3">
      <c r="A22" s="42" t="s">
        <v>49</v>
      </c>
      <c r="B22" s="43">
        <v>1</v>
      </c>
      <c r="C22" s="44">
        <v>3134.72</v>
      </c>
      <c r="D22" s="42" t="s">
        <v>875</v>
      </c>
      <c r="E22" s="42" t="str">
        <f>HYPERLINK("#'Resumen adjudicatarios'!A174","Ver contratos")</f>
        <v>Ver contratos</v>
      </c>
      <c r="F22" s="42"/>
    </row>
    <row r="23" spans="1:6" x14ac:dyDescent="0.3">
      <c r="A23" s="45" t="s">
        <v>876</v>
      </c>
      <c r="B23" s="46">
        <v>1</v>
      </c>
      <c r="C23" s="47">
        <v>17964</v>
      </c>
      <c r="D23" s="45" t="s">
        <v>700</v>
      </c>
      <c r="E23" s="45" t="str">
        <f>HYPERLINK("#'Resumen adjudicatarios'!A175","Ver contratos")</f>
        <v>Ver contratos</v>
      </c>
      <c r="F23" s="45"/>
    </row>
    <row r="24" spans="1:6" x14ac:dyDescent="0.3">
      <c r="A24" s="42" t="s">
        <v>136</v>
      </c>
      <c r="B24" s="43">
        <v>3</v>
      </c>
      <c r="C24" s="44">
        <v>95892.5</v>
      </c>
      <c r="D24" s="42" t="s">
        <v>877</v>
      </c>
      <c r="E24" s="42" t="str">
        <f>HYPERLINK("#'Resumen adjudicatarios'!A176","Ver contratos")</f>
        <v>Ver contratos</v>
      </c>
      <c r="F24" s="42"/>
    </row>
    <row r="25" spans="1:6" x14ac:dyDescent="0.3">
      <c r="A25" s="45" t="s">
        <v>300</v>
      </c>
      <c r="B25" s="46">
        <v>1</v>
      </c>
      <c r="C25" s="47">
        <v>8011.56</v>
      </c>
      <c r="D25" s="45" t="s">
        <v>298</v>
      </c>
      <c r="E25" s="45" t="str">
        <f>HYPERLINK("#'Resumen adjudicatarios'!A179","Ver contratos")</f>
        <v>Ver contratos</v>
      </c>
      <c r="F25" s="45"/>
    </row>
    <row r="26" spans="1:6" ht="28.95" customHeight="1" x14ac:dyDescent="0.3">
      <c r="A26" s="42" t="s">
        <v>293</v>
      </c>
      <c r="B26" s="43">
        <v>1</v>
      </c>
      <c r="C26" s="44">
        <v>12017.33</v>
      </c>
      <c r="D26" s="42" t="s">
        <v>878</v>
      </c>
      <c r="E26" s="42" t="str">
        <f>HYPERLINK("#'Resumen adjudicatarios'!A180","Ver contratos")</f>
        <v>Ver contratos</v>
      </c>
      <c r="F26" s="42"/>
    </row>
    <row r="27" spans="1:6" ht="28.95" customHeight="1" x14ac:dyDescent="0.3">
      <c r="A27" s="45" t="s">
        <v>290</v>
      </c>
      <c r="B27" s="46">
        <v>1</v>
      </c>
      <c r="C27" s="47">
        <v>8011.56</v>
      </c>
      <c r="D27" s="45" t="s">
        <v>879</v>
      </c>
      <c r="E27" s="45" t="str">
        <f>HYPERLINK("#'Resumen adjudicatarios'!A181","Ver contratos")</f>
        <v>Ver contratos</v>
      </c>
      <c r="F27" s="45"/>
    </row>
    <row r="28" spans="1:6" ht="28.95" customHeight="1" x14ac:dyDescent="0.3">
      <c r="A28" s="42" t="s">
        <v>304</v>
      </c>
      <c r="B28" s="43">
        <v>1</v>
      </c>
      <c r="C28" s="44">
        <v>10014.44</v>
      </c>
      <c r="D28" s="42" t="s">
        <v>302</v>
      </c>
      <c r="E28" s="42" t="str">
        <f>HYPERLINK("#'Resumen adjudicatarios'!A182","Ver contratos")</f>
        <v>Ver contratos</v>
      </c>
      <c r="F28" s="42"/>
    </row>
    <row r="29" spans="1:6" x14ac:dyDescent="0.3">
      <c r="A29" s="45" t="s">
        <v>880</v>
      </c>
      <c r="B29" s="46">
        <v>1</v>
      </c>
      <c r="C29" s="47">
        <v>2231240</v>
      </c>
      <c r="D29" s="45" t="s">
        <v>881</v>
      </c>
      <c r="E29" s="45" t="str">
        <f>HYPERLINK("#'Resumen adjudicatarios'!A183","Ver contratos")</f>
        <v>Ver contratos</v>
      </c>
      <c r="F29" s="45"/>
    </row>
    <row r="30" spans="1:6" x14ac:dyDescent="0.3">
      <c r="A30" s="42" t="s">
        <v>787</v>
      </c>
      <c r="B30" s="43">
        <v>1</v>
      </c>
      <c r="C30" s="44">
        <v>729.96</v>
      </c>
      <c r="D30" s="42" t="s">
        <v>882</v>
      </c>
      <c r="E30" s="42" t="str">
        <f>HYPERLINK("#'Resumen adjudicatarios'!A184","Ver contratos")</f>
        <v>Ver contratos</v>
      </c>
      <c r="F30" s="42"/>
    </row>
    <row r="31" spans="1:6" x14ac:dyDescent="0.3">
      <c r="A31" s="45" t="s">
        <v>313</v>
      </c>
      <c r="B31" s="46">
        <v>1</v>
      </c>
      <c r="C31" s="47">
        <v>18997</v>
      </c>
      <c r="D31" s="45" t="s">
        <v>883</v>
      </c>
      <c r="E31" s="45" t="str">
        <f>HYPERLINK("#'Resumen adjudicatarios'!A185","Ver contratos")</f>
        <v>Ver contratos</v>
      </c>
      <c r="F31" s="45"/>
    </row>
    <row r="32" spans="1:6" x14ac:dyDescent="0.3">
      <c r="A32" s="42" t="s">
        <v>762</v>
      </c>
      <c r="B32" s="43">
        <v>1</v>
      </c>
      <c r="C32" s="44">
        <v>4801.16</v>
      </c>
      <c r="D32" s="42" t="s">
        <v>884</v>
      </c>
      <c r="E32" s="42" t="str">
        <f>HYPERLINK("#'Resumen adjudicatarios'!A186","Ver contratos")</f>
        <v>Ver contratos</v>
      </c>
      <c r="F32" s="42"/>
    </row>
    <row r="33" spans="1:6" x14ac:dyDescent="0.3">
      <c r="A33" s="45" t="s">
        <v>737</v>
      </c>
      <c r="B33" s="46">
        <v>1</v>
      </c>
      <c r="C33" s="47">
        <v>2289.41</v>
      </c>
      <c r="D33" s="45" t="s">
        <v>735</v>
      </c>
      <c r="E33" s="45" t="str">
        <f>HYPERLINK("#'Resumen adjudicatarios'!A187","Ver contratos")</f>
        <v>Ver contratos</v>
      </c>
      <c r="F33" s="45"/>
    </row>
    <row r="34" spans="1:6" x14ac:dyDescent="0.3">
      <c r="A34" s="42" t="s">
        <v>640</v>
      </c>
      <c r="B34" s="43">
        <v>1</v>
      </c>
      <c r="C34" s="44">
        <v>37343.120000000003</v>
      </c>
      <c r="D34" s="42" t="s">
        <v>885</v>
      </c>
      <c r="E34" s="42" t="str">
        <f>HYPERLINK("#'Resumen adjudicatarios'!A188","Ver contratos")</f>
        <v>Ver contratos</v>
      </c>
      <c r="F34" s="42"/>
    </row>
    <row r="35" spans="1:6" x14ac:dyDescent="0.3">
      <c r="A35" s="45" t="s">
        <v>163</v>
      </c>
      <c r="B35" s="46">
        <v>2</v>
      </c>
      <c r="C35" s="47">
        <v>103818</v>
      </c>
      <c r="D35" s="45" t="s">
        <v>886</v>
      </c>
      <c r="E35" s="45" t="str">
        <f>HYPERLINK("#'Resumen adjudicatarios'!A189","Ver contratos")</f>
        <v>Ver contratos</v>
      </c>
      <c r="F35" s="45"/>
    </row>
    <row r="36" spans="1:6" ht="28.95" customHeight="1" x14ac:dyDescent="0.3">
      <c r="A36" s="42" t="s">
        <v>756</v>
      </c>
      <c r="B36" s="43">
        <v>1</v>
      </c>
      <c r="C36" s="44">
        <v>23833.64</v>
      </c>
      <c r="D36" s="42" t="s">
        <v>887</v>
      </c>
      <c r="E36" s="42" t="str">
        <f>HYPERLINK("#'Resumen adjudicatarios'!A191","Ver contratos")</f>
        <v>Ver contratos</v>
      </c>
      <c r="F36" s="42"/>
    </row>
    <row r="37" spans="1:6" x14ac:dyDescent="0.3">
      <c r="A37" s="45" t="s">
        <v>741</v>
      </c>
      <c r="B37" s="46">
        <v>1</v>
      </c>
      <c r="C37" s="47">
        <v>7553.7</v>
      </c>
      <c r="D37" s="45" t="s">
        <v>739</v>
      </c>
      <c r="E37" s="45" t="str">
        <f>HYPERLINK("#'Resumen adjudicatarios'!A192","Ver contratos")</f>
        <v>Ver contratos</v>
      </c>
      <c r="F37" s="45"/>
    </row>
    <row r="38" spans="1:6" x14ac:dyDescent="0.3">
      <c r="A38" s="42" t="s">
        <v>807</v>
      </c>
      <c r="B38" s="43">
        <v>1</v>
      </c>
      <c r="C38" s="44">
        <v>60669.4</v>
      </c>
      <c r="D38" s="42" t="s">
        <v>805</v>
      </c>
      <c r="E38" s="42" t="str">
        <f>HYPERLINK("#'Resumen adjudicatarios'!A193","Ver contratos")</f>
        <v>Ver contratos</v>
      </c>
      <c r="F38" s="42"/>
    </row>
    <row r="39" spans="1:6" x14ac:dyDescent="0.3">
      <c r="A39" s="45" t="s">
        <v>778</v>
      </c>
      <c r="B39" s="46">
        <v>1</v>
      </c>
      <c r="C39" s="47">
        <v>61019.09</v>
      </c>
      <c r="D39" s="45" t="s">
        <v>776</v>
      </c>
      <c r="E39" s="45" t="str">
        <f>HYPERLINK("#'Resumen adjudicatarios'!A194","Ver contratos")</f>
        <v>Ver contratos</v>
      </c>
      <c r="F39" s="45"/>
    </row>
    <row r="40" spans="1:6" x14ac:dyDescent="0.3">
      <c r="A40" s="42" t="s">
        <v>855</v>
      </c>
      <c r="B40" s="43">
        <v>1</v>
      </c>
      <c r="C40" s="44">
        <v>2390097.91</v>
      </c>
      <c r="D40" s="42" t="s">
        <v>888</v>
      </c>
      <c r="E40" s="42" t="str">
        <f>HYPERLINK("#'Resumen adjudicatarios'!A195","Ver contratos")</f>
        <v>Ver contratos</v>
      </c>
      <c r="F40" s="42"/>
    </row>
    <row r="41" spans="1:6" x14ac:dyDescent="0.3">
      <c r="A41" s="45" t="s">
        <v>83</v>
      </c>
      <c r="B41" s="46">
        <v>1</v>
      </c>
      <c r="C41" s="47">
        <v>455780.19</v>
      </c>
      <c r="D41" s="45" t="s">
        <v>81</v>
      </c>
      <c r="E41" s="45" t="str">
        <f>HYPERLINK("#'Resumen adjudicatarios'!A196","Ver contratos")</f>
        <v>Ver contratos</v>
      </c>
      <c r="F41" s="45"/>
    </row>
    <row r="42" spans="1:6" x14ac:dyDescent="0.3">
      <c r="A42" s="42" t="s">
        <v>800</v>
      </c>
      <c r="B42" s="43">
        <v>2</v>
      </c>
      <c r="C42" s="44">
        <v>43675.3</v>
      </c>
      <c r="D42" s="42" t="s">
        <v>889</v>
      </c>
      <c r="E42" s="42" t="str">
        <f>HYPERLINK("#'Resumen adjudicatarios'!A197","Ver contratos")</f>
        <v>Ver contratos</v>
      </c>
      <c r="F42" s="42"/>
    </row>
    <row r="43" spans="1:6" x14ac:dyDescent="0.3">
      <c r="A43" s="45" t="s">
        <v>351</v>
      </c>
      <c r="B43" s="46">
        <v>1</v>
      </c>
      <c r="C43" s="47">
        <v>81130</v>
      </c>
      <c r="D43" s="45" t="s">
        <v>349</v>
      </c>
      <c r="E43" s="45" t="str">
        <f>HYPERLINK("#'Resumen adjudicatarios'!A199","Ver contratos")</f>
        <v>Ver contratos</v>
      </c>
      <c r="F43" s="45"/>
    </row>
    <row r="44" spans="1:6" ht="28.95" customHeight="1" x14ac:dyDescent="0.3">
      <c r="A44" s="42" t="s">
        <v>381</v>
      </c>
      <c r="B44" s="43">
        <v>1</v>
      </c>
      <c r="C44" s="44">
        <v>21780</v>
      </c>
      <c r="D44" s="42" t="s">
        <v>890</v>
      </c>
      <c r="E44" s="42" t="str">
        <f>HYPERLINK("#'Resumen adjudicatarios'!A200","Ver contratos")</f>
        <v>Ver contratos</v>
      </c>
      <c r="F44" s="42"/>
    </row>
    <row r="45" spans="1:6" x14ac:dyDescent="0.3">
      <c r="A45" s="45" t="s">
        <v>318</v>
      </c>
      <c r="B45" s="46">
        <v>1</v>
      </c>
      <c r="C45" s="47">
        <v>152027.76</v>
      </c>
      <c r="D45" s="45" t="s">
        <v>316</v>
      </c>
      <c r="E45" s="45" t="str">
        <f>HYPERLINK("#'Resumen adjudicatarios'!A201","Ver contratos")</f>
        <v>Ver contratos</v>
      </c>
      <c r="F45" s="45"/>
    </row>
    <row r="46" spans="1:6" ht="28.95" customHeight="1" x14ac:dyDescent="0.3">
      <c r="A46" s="42" t="s">
        <v>517</v>
      </c>
      <c r="B46" s="43">
        <v>1</v>
      </c>
      <c r="C46" s="44">
        <v>34762.089999999997</v>
      </c>
      <c r="D46" s="42" t="s">
        <v>515</v>
      </c>
      <c r="E46" s="42" t="str">
        <f>HYPERLINK("#'Resumen adjudicatarios'!A202","Ver contratos")</f>
        <v>Ver contratos</v>
      </c>
      <c r="F46" s="42"/>
    </row>
    <row r="47" spans="1:6" ht="57.6" customHeight="1" x14ac:dyDescent="0.3">
      <c r="A47" s="45" t="s">
        <v>498</v>
      </c>
      <c r="B47" s="46">
        <v>15</v>
      </c>
      <c r="C47" s="47">
        <v>295016.56</v>
      </c>
      <c r="D47" s="45" t="s">
        <v>891</v>
      </c>
      <c r="E47" s="45" t="str">
        <f>HYPERLINK("#'Resumen adjudicatarios'!A203","Ver contratos")</f>
        <v>Ver contratos</v>
      </c>
      <c r="F47" s="45"/>
    </row>
    <row r="48" spans="1:6" x14ac:dyDescent="0.3">
      <c r="A48" s="42" t="s">
        <v>621</v>
      </c>
      <c r="B48" s="43">
        <v>1</v>
      </c>
      <c r="C48" s="44">
        <v>870779.21</v>
      </c>
      <c r="D48" s="42" t="s">
        <v>619</v>
      </c>
      <c r="E48" s="42" t="str">
        <f>HYPERLINK("#'Resumen adjudicatarios'!A218","Ver contratos")</f>
        <v>Ver contratos</v>
      </c>
      <c r="F48" s="42"/>
    </row>
    <row r="49" spans="1:6" x14ac:dyDescent="0.3">
      <c r="A49" s="45" t="s">
        <v>75</v>
      </c>
      <c r="B49" s="46">
        <v>3</v>
      </c>
      <c r="C49" s="47">
        <v>1323830.78</v>
      </c>
      <c r="D49" s="45" t="s">
        <v>892</v>
      </c>
      <c r="E49" s="45" t="str">
        <f>HYPERLINK("#'Resumen adjudicatarios'!A219","Ver contratos")</f>
        <v>Ver contratos</v>
      </c>
      <c r="F49" s="45"/>
    </row>
    <row r="50" spans="1:6" x14ac:dyDescent="0.3">
      <c r="A50" s="42" t="s">
        <v>893</v>
      </c>
      <c r="B50" s="43">
        <v>1</v>
      </c>
      <c r="C50" s="44">
        <v>14593.42</v>
      </c>
      <c r="D50" s="42" t="s">
        <v>768</v>
      </c>
      <c r="E50" s="42" t="str">
        <f>HYPERLINK("#'Resumen adjudicatarios'!A222","Ver contratos")</f>
        <v>Ver contratos</v>
      </c>
      <c r="F50" s="42"/>
    </row>
    <row r="51" spans="1:6" x14ac:dyDescent="0.3">
      <c r="A51" s="45" t="s">
        <v>403</v>
      </c>
      <c r="B51" s="46">
        <v>1</v>
      </c>
      <c r="C51" s="47">
        <v>24436</v>
      </c>
      <c r="D51" s="45" t="s">
        <v>401</v>
      </c>
      <c r="E51" s="45" t="str">
        <f>HYPERLINK("#'Resumen adjudicatarios'!A223","Ver contratos")</f>
        <v>Ver contratos</v>
      </c>
      <c r="F51" s="45"/>
    </row>
    <row r="52" spans="1:6" x14ac:dyDescent="0.3">
      <c r="A52" s="42" t="s">
        <v>388</v>
      </c>
      <c r="B52" s="43">
        <v>1</v>
      </c>
      <c r="C52" s="44">
        <v>2809.62</v>
      </c>
      <c r="D52" s="42" t="s">
        <v>894</v>
      </c>
      <c r="E52" s="42" t="str">
        <f>HYPERLINK("#'Resumen adjudicatarios'!A224","Ver contratos")</f>
        <v>Ver contratos</v>
      </c>
      <c r="F52" s="42"/>
    </row>
    <row r="53" spans="1:6" x14ac:dyDescent="0.3">
      <c r="A53" s="45" t="s">
        <v>436</v>
      </c>
      <c r="B53" s="46">
        <v>1</v>
      </c>
      <c r="C53" s="47">
        <v>19599.580000000002</v>
      </c>
      <c r="D53" s="45" t="s">
        <v>434</v>
      </c>
      <c r="E53" s="45" t="str">
        <f>HYPERLINK("#'Resumen adjudicatarios'!A225","Ver contratos")</f>
        <v>Ver contratos</v>
      </c>
      <c r="F53" s="45"/>
    </row>
    <row r="54" spans="1:6" x14ac:dyDescent="0.3">
      <c r="A54" s="42" t="s">
        <v>670</v>
      </c>
      <c r="B54" s="43">
        <v>1</v>
      </c>
      <c r="C54" s="44">
        <v>316313.65999999997</v>
      </c>
      <c r="D54" s="42" t="s">
        <v>668</v>
      </c>
      <c r="E54" s="42" t="str">
        <f>HYPERLINK("#'Resumen adjudicatarios'!A226","Ver contratos")</f>
        <v>Ver contratos</v>
      </c>
      <c r="F54" s="42"/>
    </row>
    <row r="55" spans="1:6" x14ac:dyDescent="0.3">
      <c r="A55" s="45" t="s">
        <v>424</v>
      </c>
      <c r="B55" s="46">
        <v>1</v>
      </c>
      <c r="C55" s="47">
        <v>4840</v>
      </c>
      <c r="D55" s="45" t="s">
        <v>895</v>
      </c>
      <c r="E55" s="45" t="str">
        <f>HYPERLINK("#'Resumen adjudicatarios'!A227","Ver contratos")</f>
        <v>Ver contratos</v>
      </c>
      <c r="F55" s="45"/>
    </row>
    <row r="56" spans="1:6" x14ac:dyDescent="0.3">
      <c r="A56" s="42" t="s">
        <v>201</v>
      </c>
      <c r="B56" s="43">
        <v>1</v>
      </c>
      <c r="C56" s="44">
        <v>159712</v>
      </c>
      <c r="D56" s="42" t="s">
        <v>197</v>
      </c>
      <c r="E56" s="42" t="str">
        <f>HYPERLINK("#'Resumen adjudicatarios'!A228","Ver contratos")</f>
        <v>Ver contratos</v>
      </c>
      <c r="F56" s="42"/>
    </row>
    <row r="57" spans="1:6" x14ac:dyDescent="0.3">
      <c r="A57" s="45" t="s">
        <v>728</v>
      </c>
      <c r="B57" s="46">
        <v>1</v>
      </c>
      <c r="C57" s="47">
        <v>89526.69</v>
      </c>
      <c r="D57" s="45" t="s">
        <v>896</v>
      </c>
      <c r="E57" s="45" t="str">
        <f>HYPERLINK("#'Resumen adjudicatarios'!A229","Ver contratos")</f>
        <v>Ver contratos</v>
      </c>
      <c r="F57" s="45"/>
    </row>
    <row r="58" spans="1:6" x14ac:dyDescent="0.3">
      <c r="A58" s="42" t="s">
        <v>359</v>
      </c>
      <c r="B58" s="43">
        <v>1</v>
      </c>
      <c r="C58" s="44">
        <v>14570.34</v>
      </c>
      <c r="D58" s="42" t="s">
        <v>897</v>
      </c>
      <c r="E58" s="42" t="str">
        <f>HYPERLINK("#'Resumen adjudicatarios'!A230","Ver contratos")</f>
        <v>Ver contratos</v>
      </c>
      <c r="F58" s="42"/>
    </row>
    <row r="59" spans="1:6" ht="28.95" customHeight="1" x14ac:dyDescent="0.3">
      <c r="A59" s="45" t="s">
        <v>823</v>
      </c>
      <c r="B59" s="46">
        <v>2</v>
      </c>
      <c r="C59" s="47">
        <v>1119250</v>
      </c>
      <c r="D59" s="45" t="s">
        <v>898</v>
      </c>
      <c r="E59" s="45" t="str">
        <f>HYPERLINK("#'Resumen adjudicatarios'!A231","Ver contratos")</f>
        <v>Ver contratos</v>
      </c>
      <c r="F59" s="45" t="s">
        <v>899</v>
      </c>
    </row>
    <row r="60" spans="1:6" ht="28.95" customHeight="1" x14ac:dyDescent="0.3">
      <c r="A60" s="42" t="s">
        <v>796</v>
      </c>
      <c r="B60" s="43">
        <v>1</v>
      </c>
      <c r="C60" s="44">
        <v>510000</v>
      </c>
      <c r="D60" s="42" t="s">
        <v>794</v>
      </c>
      <c r="E60" s="42" t="str">
        <f>HYPERLINK("#'Resumen adjudicatarios'!A233","Ver contratos")</f>
        <v>Ver contratos</v>
      </c>
      <c r="F60" s="42"/>
    </row>
    <row r="61" spans="1:6" x14ac:dyDescent="0.3">
      <c r="A61" s="45" t="s">
        <v>95</v>
      </c>
      <c r="B61" s="46">
        <v>1</v>
      </c>
      <c r="C61" s="47">
        <v>111836.23</v>
      </c>
      <c r="D61" s="45" t="s">
        <v>93</v>
      </c>
      <c r="E61" s="45" t="str">
        <f>HYPERLINK("#'Resumen adjudicatarios'!A234","Ver contratos")</f>
        <v>Ver contratos</v>
      </c>
      <c r="F61" s="45"/>
    </row>
    <row r="62" spans="1:6" x14ac:dyDescent="0.3">
      <c r="A62" s="42" t="s">
        <v>678</v>
      </c>
      <c r="B62" s="43">
        <v>1</v>
      </c>
      <c r="C62" s="44">
        <v>219600</v>
      </c>
      <c r="D62" s="42" t="s">
        <v>900</v>
      </c>
      <c r="E62" s="42" t="str">
        <f>HYPERLINK("#'Resumen adjudicatarios'!A235","Ver contratos")</f>
        <v>Ver contratos</v>
      </c>
      <c r="F62" s="42"/>
    </row>
    <row r="63" spans="1:6" ht="28.95" customHeight="1" x14ac:dyDescent="0.3">
      <c r="A63" s="45" t="s">
        <v>296</v>
      </c>
      <c r="B63" s="46">
        <v>1</v>
      </c>
      <c r="C63" s="47">
        <v>148213.78</v>
      </c>
      <c r="D63" s="45" t="s">
        <v>901</v>
      </c>
      <c r="E63" s="45" t="str">
        <f>HYPERLINK("#'Resumen adjudicatarios'!A236","Ver contratos")</f>
        <v>Ver contratos</v>
      </c>
      <c r="F63" s="45"/>
    </row>
    <row r="64" spans="1:6" x14ac:dyDescent="0.3">
      <c r="A64" s="42" t="s">
        <v>266</v>
      </c>
      <c r="B64" s="43">
        <v>1</v>
      </c>
      <c r="C64" s="44">
        <v>113101.5</v>
      </c>
      <c r="D64" s="42" t="s">
        <v>264</v>
      </c>
      <c r="E64" s="42" t="str">
        <f>HYPERLINK("#'Resumen adjudicatarios'!A237","Ver contratos")</f>
        <v>Ver contratos</v>
      </c>
      <c r="F64" s="42"/>
    </row>
    <row r="65" spans="1:6" x14ac:dyDescent="0.3">
      <c r="A65" s="45" t="s">
        <v>732</v>
      </c>
      <c r="B65" s="46">
        <v>1</v>
      </c>
      <c r="C65" s="47">
        <v>18234.7</v>
      </c>
      <c r="D65" s="45" t="s">
        <v>729</v>
      </c>
      <c r="E65" s="45" t="str">
        <f>HYPERLINK("#'Resumen adjudicatarios'!A238","Ver contratos")</f>
        <v>Ver contratos</v>
      </c>
      <c r="F65" s="45"/>
    </row>
    <row r="66" spans="1:6" x14ac:dyDescent="0.3">
      <c r="A66" s="42" t="s">
        <v>791</v>
      </c>
      <c r="B66" s="43">
        <v>1</v>
      </c>
      <c r="C66" s="44">
        <v>5420000</v>
      </c>
      <c r="D66" s="42" t="s">
        <v>788</v>
      </c>
      <c r="E66" s="42" t="str">
        <f>HYPERLINK("#'Resumen adjudicatarios'!A239","Ver contratos")</f>
        <v>Ver contratos</v>
      </c>
      <c r="F66" s="42"/>
    </row>
    <row r="67" spans="1:6" x14ac:dyDescent="0.3">
      <c r="A67" s="45" t="s">
        <v>252</v>
      </c>
      <c r="B67" s="46">
        <v>1</v>
      </c>
      <c r="C67" s="47">
        <v>46161.5</v>
      </c>
      <c r="D67" s="45" t="s">
        <v>902</v>
      </c>
      <c r="E67" s="45" t="str">
        <f>HYPERLINK("#'Resumen adjudicatarios'!A240","Ver contratos")</f>
        <v>Ver contratos</v>
      </c>
      <c r="F67" s="45"/>
    </row>
    <row r="68" spans="1:6" x14ac:dyDescent="0.3">
      <c r="A68" s="42" t="s">
        <v>765</v>
      </c>
      <c r="B68" s="43">
        <v>1</v>
      </c>
      <c r="C68" s="44">
        <v>52205.4</v>
      </c>
      <c r="D68" s="42" t="s">
        <v>763</v>
      </c>
      <c r="E68" s="42" t="str">
        <f>HYPERLINK("#'Resumen adjudicatarios'!A241","Ver contratos")</f>
        <v>Ver contratos</v>
      </c>
      <c r="F68" s="42"/>
    </row>
    <row r="69" spans="1:6" x14ac:dyDescent="0.3">
      <c r="A69" s="45" t="s">
        <v>228</v>
      </c>
      <c r="B69" s="46">
        <v>1</v>
      </c>
      <c r="C69" s="47">
        <v>445552.15</v>
      </c>
      <c r="D69" s="45" t="s">
        <v>225</v>
      </c>
      <c r="E69" s="45" t="str">
        <f>HYPERLINK("#'Resumen adjudicatarios'!A242","Ver contratos")</f>
        <v>Ver contratos</v>
      </c>
      <c r="F69" s="45"/>
    </row>
    <row r="70" spans="1:6" x14ac:dyDescent="0.3">
      <c r="A70" s="42" t="s">
        <v>774</v>
      </c>
      <c r="B70" s="43">
        <v>1</v>
      </c>
      <c r="C70" s="44">
        <v>72479</v>
      </c>
      <c r="D70" s="42" t="s">
        <v>772</v>
      </c>
      <c r="E70" s="42" t="str">
        <f>HYPERLINK("#'Resumen adjudicatarios'!A243","Ver contratos")</f>
        <v>Ver contratos</v>
      </c>
      <c r="F70" s="42"/>
    </row>
    <row r="71" spans="1:6" ht="43.2" customHeight="1" x14ac:dyDescent="0.3">
      <c r="A71" s="45" t="s">
        <v>454</v>
      </c>
      <c r="B71" s="46">
        <v>12</v>
      </c>
      <c r="C71" s="47">
        <v>100210.59</v>
      </c>
      <c r="D71" s="45" t="s">
        <v>903</v>
      </c>
      <c r="E71" s="45" t="str">
        <f>HYPERLINK("#'Resumen adjudicatarios'!A244","Ver contratos")</f>
        <v>Ver contratos</v>
      </c>
      <c r="F71" s="45"/>
    </row>
    <row r="72" spans="1:6" x14ac:dyDescent="0.3">
      <c r="A72" s="42" t="s">
        <v>818</v>
      </c>
      <c r="B72" s="43">
        <v>1</v>
      </c>
      <c r="C72" s="44">
        <v>1648020</v>
      </c>
      <c r="D72" s="42" t="s">
        <v>904</v>
      </c>
      <c r="E72" s="42" t="str">
        <f>HYPERLINK("#'Resumen adjudicatarios'!A256","Ver contratos")</f>
        <v>Ver contratos</v>
      </c>
      <c r="F72" s="42"/>
    </row>
    <row r="73" spans="1:6" x14ac:dyDescent="0.3">
      <c r="A73" s="45" t="s">
        <v>43</v>
      </c>
      <c r="B73" s="46">
        <v>1</v>
      </c>
      <c r="C73" s="47">
        <v>30008</v>
      </c>
      <c r="D73" s="45" t="s">
        <v>905</v>
      </c>
      <c r="E73" s="45" t="str">
        <f>HYPERLINK("#'Resumen adjudicatarios'!A257","Ver contratos")</f>
        <v>Ver contratos</v>
      </c>
      <c r="F73" s="45"/>
    </row>
    <row r="74" spans="1:6" x14ac:dyDescent="0.3">
      <c r="A74" s="42" t="s">
        <v>38</v>
      </c>
      <c r="B74" s="43">
        <v>1</v>
      </c>
      <c r="C74" s="44">
        <v>9680</v>
      </c>
      <c r="D74" s="42" t="s">
        <v>35</v>
      </c>
      <c r="E74" s="42" t="str">
        <f>HYPERLINK("#'Resumen adjudicatarios'!A258","Ver contratos")</f>
        <v>Ver contratos</v>
      </c>
      <c r="F74" s="42"/>
    </row>
    <row r="75" spans="1:6" x14ac:dyDescent="0.3">
      <c r="A75" s="45" t="s">
        <v>644</v>
      </c>
      <c r="B75" s="46">
        <v>1</v>
      </c>
      <c r="C75" s="47">
        <v>589.27</v>
      </c>
      <c r="D75" s="45" t="s">
        <v>906</v>
      </c>
      <c r="E75" s="45" t="str">
        <f>HYPERLINK("#'Resumen adjudicatarios'!A259","Ver contratos")</f>
        <v>Ver contratos</v>
      </c>
      <c r="F75" s="45"/>
    </row>
    <row r="76" spans="1:6" x14ac:dyDescent="0.3">
      <c r="A76" s="42" t="s">
        <v>907</v>
      </c>
      <c r="B76" s="43">
        <v>1</v>
      </c>
      <c r="C76" s="44">
        <v>82822.080000000002</v>
      </c>
      <c r="D76" s="42" t="s">
        <v>718</v>
      </c>
      <c r="E76" s="42" t="str">
        <f>HYPERLINK("#'Resumen adjudicatarios'!A260","Ver contratos")</f>
        <v>Ver contratos</v>
      </c>
      <c r="F76" s="42"/>
    </row>
    <row r="77" spans="1:6" x14ac:dyDescent="0.3">
      <c r="A77" s="45" t="s">
        <v>339</v>
      </c>
      <c r="B77" s="46">
        <v>1</v>
      </c>
      <c r="C77" s="47">
        <v>4199.9799999999996</v>
      </c>
      <c r="D77" s="45" t="s">
        <v>908</v>
      </c>
      <c r="E77" s="45" t="str">
        <f>HYPERLINK("#'Resumen adjudicatarios'!A261","Ver contratos")</f>
        <v>Ver contratos</v>
      </c>
      <c r="F77" s="45"/>
    </row>
    <row r="78" spans="1:6" x14ac:dyDescent="0.3">
      <c r="A78" s="42" t="s">
        <v>710</v>
      </c>
      <c r="B78" s="43">
        <v>1</v>
      </c>
      <c r="C78" s="44">
        <v>7560</v>
      </c>
      <c r="D78" s="42" t="s">
        <v>909</v>
      </c>
      <c r="E78" s="42" t="str">
        <f>HYPERLINK("#'Resumen adjudicatarios'!A262","Ver contratos")</f>
        <v>Ver contratos</v>
      </c>
      <c r="F78" s="42"/>
    </row>
    <row r="79" spans="1:6" x14ac:dyDescent="0.3">
      <c r="A79" s="45" t="s">
        <v>342</v>
      </c>
      <c r="B79" s="46">
        <v>1</v>
      </c>
      <c r="C79" s="47">
        <v>93610.010000000009</v>
      </c>
      <c r="D79" s="45" t="s">
        <v>910</v>
      </c>
      <c r="E79" s="45" t="str">
        <f>HYPERLINK("#'Resumen adjudicatarios'!A263","Ver contratos")</f>
        <v>Ver contratos</v>
      </c>
      <c r="F79" s="45"/>
    </row>
    <row r="80" spans="1:6" x14ac:dyDescent="0.3">
      <c r="A80" s="42" t="s">
        <v>307</v>
      </c>
      <c r="B80" s="43">
        <v>1</v>
      </c>
      <c r="C80" s="44">
        <v>8011.56</v>
      </c>
      <c r="D80" s="42" t="s">
        <v>305</v>
      </c>
      <c r="E80" s="42" t="str">
        <f>HYPERLINK("#'Resumen adjudicatarios'!A264","Ver contratos")</f>
        <v>Ver contratos</v>
      </c>
      <c r="F80" s="42"/>
    </row>
    <row r="81" spans="1:6" x14ac:dyDescent="0.3">
      <c r="A81" s="45" t="s">
        <v>271</v>
      </c>
      <c r="B81" s="46">
        <v>1</v>
      </c>
      <c r="C81" s="47">
        <v>709868.64</v>
      </c>
      <c r="D81" s="45" t="s">
        <v>268</v>
      </c>
      <c r="E81" s="45" t="str">
        <f>HYPERLINK("#'Resumen adjudicatarios'!A265","Ver contratos")</f>
        <v>Ver contratos</v>
      </c>
      <c r="F81" s="45"/>
    </row>
    <row r="82" spans="1:6" x14ac:dyDescent="0.3">
      <c r="A82" s="42" t="s">
        <v>837</v>
      </c>
      <c r="B82" s="43">
        <v>1</v>
      </c>
      <c r="C82" s="44">
        <v>9927310.6899999995</v>
      </c>
      <c r="D82" s="42" t="s">
        <v>911</v>
      </c>
      <c r="E82" s="42" t="str">
        <f>HYPERLINK("#'Resumen adjudicatarios'!A266","Ver contratos")</f>
        <v>Ver contratos</v>
      </c>
      <c r="F82" s="42"/>
    </row>
    <row r="83" spans="1:6" ht="28.95" customHeight="1" x14ac:dyDescent="0.3">
      <c r="A83" s="45" t="s">
        <v>187</v>
      </c>
      <c r="B83" s="46">
        <v>1</v>
      </c>
      <c r="C83" s="47">
        <v>7559.69</v>
      </c>
      <c r="D83" s="45" t="s">
        <v>185</v>
      </c>
      <c r="E83" s="45" t="str">
        <f>HYPERLINK("#'Resumen adjudicatarios'!A267","Ver contratos")</f>
        <v>Ver contratos</v>
      </c>
      <c r="F83" s="45"/>
    </row>
    <row r="84" spans="1:6" ht="28.95" customHeight="1" x14ac:dyDescent="0.3">
      <c r="A84" s="42" t="s">
        <v>858</v>
      </c>
      <c r="B84" s="43">
        <v>1</v>
      </c>
      <c r="C84" s="44">
        <v>1696428</v>
      </c>
      <c r="D84" s="42" t="s">
        <v>912</v>
      </c>
      <c r="E84" s="42" t="str">
        <f>HYPERLINK("#'Resumen adjudicatarios'!A268","Ver contratos")</f>
        <v>Ver contratos</v>
      </c>
      <c r="F84" s="42"/>
    </row>
    <row r="85" spans="1:6" ht="28.95" customHeight="1" x14ac:dyDescent="0.3">
      <c r="A85" s="45" t="s">
        <v>16</v>
      </c>
      <c r="B85" s="46">
        <v>1</v>
      </c>
      <c r="C85" s="47"/>
      <c r="D85" s="45" t="s">
        <v>11</v>
      </c>
      <c r="E85" s="45" t="str">
        <f>HYPERLINK("#'Resumen adjudicatarios'!A269","Ver contratos")</f>
        <v>Ver contratos</v>
      </c>
      <c r="F85" s="45" t="s">
        <v>899</v>
      </c>
    </row>
    <row r="86" spans="1:6" ht="28.95" customHeight="1" x14ac:dyDescent="0.3">
      <c r="A86" s="42" t="s">
        <v>114</v>
      </c>
      <c r="B86" s="43">
        <v>1</v>
      </c>
      <c r="C86" s="44">
        <v>4772.78</v>
      </c>
      <c r="D86" s="42" t="s">
        <v>913</v>
      </c>
      <c r="E86" s="42" t="str">
        <f>HYPERLINK("#'Resumen adjudicatarios'!A270","Ver contratos")</f>
        <v>Ver contratos</v>
      </c>
      <c r="F86" s="42"/>
    </row>
    <row r="87" spans="1:6" x14ac:dyDescent="0.3">
      <c r="A87" s="45" t="s">
        <v>110</v>
      </c>
      <c r="B87" s="46">
        <v>1</v>
      </c>
      <c r="C87" s="47">
        <v>52478.16</v>
      </c>
      <c r="D87" s="45" t="s">
        <v>914</v>
      </c>
      <c r="E87" s="45" t="str">
        <f>HYPERLINK("#'Resumen adjudicatarios'!A271","Ver contratos")</f>
        <v>Ver contratos</v>
      </c>
      <c r="F87" s="45"/>
    </row>
    <row r="88" spans="1:6" ht="28.95" customHeight="1" x14ac:dyDescent="0.3">
      <c r="A88" s="42" t="s">
        <v>22</v>
      </c>
      <c r="B88" s="43">
        <v>1</v>
      </c>
      <c r="C88" s="44"/>
      <c r="D88" s="42" t="s">
        <v>20</v>
      </c>
      <c r="E88" s="42" t="str">
        <f>HYPERLINK("#'Resumen adjudicatarios'!A272","Ver contratos")</f>
        <v>Ver contratos</v>
      </c>
      <c r="F88" s="42" t="s">
        <v>899</v>
      </c>
    </row>
    <row r="89" spans="1:6" x14ac:dyDescent="0.3">
      <c r="A89" s="45" t="s">
        <v>625</v>
      </c>
      <c r="B89" s="46">
        <v>1</v>
      </c>
      <c r="C89" s="47">
        <v>154999.98000000001</v>
      </c>
      <c r="D89" s="45" t="s">
        <v>915</v>
      </c>
      <c r="E89" s="45" t="str">
        <f>HYPERLINK("#'Resumen adjudicatarios'!A273","Ver contratos")</f>
        <v>Ver contratos</v>
      </c>
      <c r="F89" s="45"/>
    </row>
    <row r="90" spans="1:6" x14ac:dyDescent="0.3">
      <c r="A90" s="42" t="s">
        <v>384</v>
      </c>
      <c r="B90" s="43">
        <v>2</v>
      </c>
      <c r="C90" s="44">
        <v>54941.48</v>
      </c>
      <c r="D90" s="42" t="s">
        <v>916</v>
      </c>
      <c r="E90" s="42" t="str">
        <f>HYPERLINK("#'Resumen adjudicatarios'!A274","Ver contratos")</f>
        <v>Ver contratos</v>
      </c>
      <c r="F90" s="42"/>
    </row>
    <row r="91" spans="1:6" ht="28.95" customHeight="1" x14ac:dyDescent="0.3">
      <c r="A91" s="45" t="s">
        <v>428</v>
      </c>
      <c r="B91" s="46">
        <v>1</v>
      </c>
      <c r="C91" s="47">
        <v>26589.75</v>
      </c>
      <c r="D91" s="45" t="s">
        <v>917</v>
      </c>
      <c r="E91" s="45" t="str">
        <f>HYPERLINK("#'Resumen adjudicatarios'!A276","Ver contratos")</f>
        <v>Ver contratos</v>
      </c>
      <c r="F91" s="45"/>
    </row>
    <row r="92" spans="1:6" x14ac:dyDescent="0.3">
      <c r="A92" s="42" t="s">
        <v>658</v>
      </c>
      <c r="B92" s="43">
        <v>1</v>
      </c>
      <c r="C92" s="44">
        <v>84796.800000000003</v>
      </c>
      <c r="D92" s="42" t="s">
        <v>656</v>
      </c>
      <c r="E92" s="42" t="str">
        <f>HYPERLINK("#'Resumen adjudicatarios'!A277","Ver contratos")</f>
        <v>Ver contratos</v>
      </c>
      <c r="F92" s="42"/>
    </row>
    <row r="93" spans="1:6" x14ac:dyDescent="0.3">
      <c r="A93" s="45" t="s">
        <v>28</v>
      </c>
      <c r="B93" s="46">
        <v>1</v>
      </c>
      <c r="C93" s="47">
        <v>29862.05</v>
      </c>
      <c r="D93" s="45" t="s">
        <v>24</v>
      </c>
      <c r="E93" s="45" t="str">
        <f>HYPERLINK("#'Resumen adjudicatarios'!A278","Ver contratos")</f>
        <v>Ver contratos</v>
      </c>
      <c r="F93" s="45"/>
    </row>
    <row r="94" spans="1:6" x14ac:dyDescent="0.3">
      <c r="A94" s="42" t="s">
        <v>331</v>
      </c>
      <c r="B94" s="43">
        <v>2</v>
      </c>
      <c r="C94" s="44">
        <v>65945</v>
      </c>
      <c r="D94" s="42" t="s">
        <v>918</v>
      </c>
      <c r="E94" s="42" t="str">
        <f>HYPERLINK("#'Resumen adjudicatarios'!A279","Ver contratos")</f>
        <v>Ver contratos</v>
      </c>
      <c r="F94" s="42"/>
    </row>
    <row r="95" spans="1:6" x14ac:dyDescent="0.3">
      <c r="A95" s="45" t="s">
        <v>310</v>
      </c>
      <c r="B95" s="46">
        <v>1</v>
      </c>
      <c r="C95" s="47">
        <v>31460</v>
      </c>
      <c r="D95" s="45" t="s">
        <v>919</v>
      </c>
      <c r="E95" s="45" t="str">
        <f>HYPERLINK("#'Resumen adjudicatarios'!A281","Ver contratos")</f>
        <v>Ver contratos</v>
      </c>
      <c r="F95" s="45"/>
    </row>
    <row r="96" spans="1:6" x14ac:dyDescent="0.3">
      <c r="A96" s="42" t="s">
        <v>852</v>
      </c>
      <c r="B96" s="43">
        <v>1</v>
      </c>
      <c r="C96" s="44">
        <v>18136968.09</v>
      </c>
      <c r="D96" s="42" t="s">
        <v>920</v>
      </c>
      <c r="E96" s="42" t="str">
        <f>HYPERLINK("#'Resumen adjudicatarios'!A282","Ver contratos")</f>
        <v>Ver contratos</v>
      </c>
      <c r="F96" s="42"/>
    </row>
    <row r="97" spans="1:6" x14ac:dyDescent="0.3">
      <c r="A97" s="45" t="s">
        <v>207</v>
      </c>
      <c r="B97" s="46">
        <v>1</v>
      </c>
      <c r="C97" s="47">
        <v>351690</v>
      </c>
      <c r="D97" s="45" t="s">
        <v>205</v>
      </c>
      <c r="E97" s="45" t="str">
        <f>HYPERLINK("#'Resumen adjudicatarios'!A283","Ver contratos")</f>
        <v>Ver contratos</v>
      </c>
      <c r="F97" s="45"/>
    </row>
    <row r="98" spans="1:6" ht="28.95" customHeight="1" x14ac:dyDescent="0.3">
      <c r="A98" s="42" t="s">
        <v>346</v>
      </c>
      <c r="B98" s="43">
        <v>3</v>
      </c>
      <c r="C98" s="44">
        <v>24691.599999999999</v>
      </c>
      <c r="D98" s="42" t="s">
        <v>921</v>
      </c>
      <c r="E98" s="42" t="str">
        <f>HYPERLINK("#'Resumen adjudicatarios'!A284","Ver contratos")</f>
        <v>Ver contratos</v>
      </c>
      <c r="F98" s="42" t="s">
        <v>899</v>
      </c>
    </row>
    <row r="99" spans="1:6" x14ac:dyDescent="0.3">
      <c r="A99" s="45" t="s">
        <v>922</v>
      </c>
      <c r="B99" s="46">
        <v>1</v>
      </c>
      <c r="C99" s="47">
        <v>5020290</v>
      </c>
      <c r="D99" s="45" t="s">
        <v>923</v>
      </c>
      <c r="E99" s="45" t="str">
        <f>HYPERLINK("#'Resumen adjudicatarios'!A287","Ver contratos")</f>
        <v>Ver contratos</v>
      </c>
      <c r="F99" s="45"/>
    </row>
    <row r="100" spans="1:6" x14ac:dyDescent="0.3">
      <c r="A100" s="42" t="s">
        <v>143</v>
      </c>
      <c r="B100" s="43">
        <v>2</v>
      </c>
      <c r="C100" s="44">
        <v>48400</v>
      </c>
      <c r="D100" s="42" t="s">
        <v>924</v>
      </c>
      <c r="E100" s="42" t="str">
        <f>HYPERLINK("#'Resumen adjudicatarios'!A288","Ver contratos")</f>
        <v>Ver contratos</v>
      </c>
      <c r="F100" s="42"/>
    </row>
    <row r="101" spans="1:6" x14ac:dyDescent="0.3">
      <c r="A101" s="45" t="s">
        <v>183</v>
      </c>
      <c r="B101" s="46">
        <v>1</v>
      </c>
      <c r="C101" s="47">
        <v>149825.73000000001</v>
      </c>
      <c r="D101" s="45" t="s">
        <v>181</v>
      </c>
      <c r="E101" s="45" t="str">
        <f>HYPERLINK("#'Resumen adjudicatarios'!A290","Ver contratos")</f>
        <v>Ver contratos</v>
      </c>
      <c r="F101" s="45"/>
    </row>
    <row r="102" spans="1:6" ht="28.95" customHeight="1" x14ac:dyDescent="0.3">
      <c r="A102" s="42" t="s">
        <v>717</v>
      </c>
      <c r="B102" s="43">
        <v>1</v>
      </c>
      <c r="C102" s="44">
        <v>11082.5</v>
      </c>
      <c r="D102" s="42" t="s">
        <v>925</v>
      </c>
      <c r="E102" s="42" t="str">
        <f>HYPERLINK("#'Resumen adjudicatarios'!A291","Ver contratos")</f>
        <v>Ver contratos</v>
      </c>
      <c r="F102" s="42"/>
    </row>
    <row r="103" spans="1:6" x14ac:dyDescent="0.3">
      <c r="A103" s="45" t="s">
        <v>714</v>
      </c>
      <c r="B103" s="46">
        <v>1</v>
      </c>
      <c r="C103" s="47">
        <v>5655</v>
      </c>
      <c r="D103" s="45" t="s">
        <v>926</v>
      </c>
      <c r="E103" s="45" t="str">
        <f>HYPERLINK("#'Resumen adjudicatarios'!A292","Ver contratos")</f>
        <v>Ver contratos</v>
      </c>
      <c r="F103" s="45"/>
    </row>
    <row r="104" spans="1:6" x14ac:dyDescent="0.3">
      <c r="A104" s="42" t="s">
        <v>674</v>
      </c>
      <c r="B104" s="43">
        <v>1</v>
      </c>
      <c r="C104" s="44">
        <v>207400.07</v>
      </c>
      <c r="D104" s="42" t="s">
        <v>672</v>
      </c>
      <c r="E104" s="42" t="str">
        <f>HYPERLINK("#'Resumen adjudicatarios'!A293","Ver contratos")</f>
        <v>Ver contratos</v>
      </c>
      <c r="F104" s="42"/>
    </row>
    <row r="105" spans="1:6" x14ac:dyDescent="0.3">
      <c r="A105" s="45" t="s">
        <v>255</v>
      </c>
      <c r="B105" s="46">
        <v>1</v>
      </c>
      <c r="C105" s="47">
        <v>1790.8</v>
      </c>
      <c r="D105" s="45" t="s">
        <v>927</v>
      </c>
      <c r="E105" s="45" t="str">
        <f>HYPERLINK("#'Resumen adjudicatarios'!A294","Ver contratos")</f>
        <v>Ver contratos</v>
      </c>
      <c r="F105" s="45"/>
    </row>
    <row r="106" spans="1:6" ht="28.95" customHeight="1" x14ac:dyDescent="0.3">
      <c r="A106" s="42" t="s">
        <v>830</v>
      </c>
      <c r="B106" s="43">
        <v>1</v>
      </c>
      <c r="C106" s="44"/>
      <c r="D106" s="42" t="s">
        <v>928</v>
      </c>
      <c r="E106" s="42" t="str">
        <f>HYPERLINK("#'Resumen adjudicatarios'!A295","Ver contratos")</f>
        <v>Ver contratos</v>
      </c>
      <c r="F106" s="42" t="s">
        <v>899</v>
      </c>
    </row>
    <row r="107" spans="1:6" x14ac:dyDescent="0.3">
      <c r="A107" s="45" t="s">
        <v>149</v>
      </c>
      <c r="B107" s="46">
        <v>1</v>
      </c>
      <c r="C107" s="47">
        <v>62920</v>
      </c>
      <c r="D107" s="45" t="s">
        <v>147</v>
      </c>
      <c r="E107" s="45" t="str">
        <f>HYPERLINK("#'Resumen adjudicatarios'!A296","Ver contratos")</f>
        <v>Ver contratos</v>
      </c>
      <c r="F107" s="45"/>
    </row>
    <row r="108" spans="1:6" x14ac:dyDescent="0.3">
      <c r="A108" s="42" t="s">
        <v>326</v>
      </c>
      <c r="B108" s="43">
        <v>1</v>
      </c>
      <c r="C108" s="44">
        <v>68280.3</v>
      </c>
      <c r="D108" s="42" t="s">
        <v>929</v>
      </c>
      <c r="E108" s="42" t="str">
        <f>HYPERLINK("#'Resumen adjudicatarios'!A297","Ver contratos")</f>
        <v>Ver contratos</v>
      </c>
      <c r="F108" s="42"/>
    </row>
    <row r="109" spans="1:6" x14ac:dyDescent="0.3">
      <c r="A109" s="45" t="s">
        <v>930</v>
      </c>
      <c r="B109" s="46">
        <v>1</v>
      </c>
      <c r="C109" s="47">
        <v>4004.4</v>
      </c>
      <c r="D109" s="45" t="s">
        <v>931</v>
      </c>
      <c r="E109" s="45" t="str">
        <f>HYPERLINK("#'Resumen adjudicatarios'!A298","Ver contratos")</f>
        <v>Ver contratos</v>
      </c>
      <c r="F109" s="45"/>
    </row>
    <row r="110" spans="1:6" ht="28.95" customHeight="1" x14ac:dyDescent="0.3">
      <c r="A110" s="42" t="s">
        <v>170</v>
      </c>
      <c r="B110" s="43">
        <v>3</v>
      </c>
      <c r="C110" s="44">
        <v>430155</v>
      </c>
      <c r="D110" s="42" t="s">
        <v>932</v>
      </c>
      <c r="E110" s="42" t="str">
        <f>HYPERLINK("#'Resumen adjudicatarios'!A299","Ver contratos")</f>
        <v>Ver contratos</v>
      </c>
      <c r="F110" s="42"/>
    </row>
    <row r="111" spans="1:6" x14ac:dyDescent="0.3">
      <c r="A111" s="45" t="s">
        <v>933</v>
      </c>
      <c r="B111" s="46">
        <v>1</v>
      </c>
      <c r="C111" s="47">
        <v>35090</v>
      </c>
      <c r="D111" s="45" t="s">
        <v>397</v>
      </c>
      <c r="E111" s="45" t="str">
        <f>HYPERLINK("#'Resumen adjudicatarios'!A302","Ver contratos")</f>
        <v>Ver contratos</v>
      </c>
      <c r="F111" s="45"/>
    </row>
    <row r="112" spans="1:6" x14ac:dyDescent="0.3">
      <c r="A112" s="42" t="s">
        <v>105</v>
      </c>
      <c r="B112" s="43">
        <v>2</v>
      </c>
      <c r="C112" s="44">
        <v>1523368.52</v>
      </c>
      <c r="D112" s="42" t="s">
        <v>934</v>
      </c>
      <c r="E112" s="42" t="str">
        <f>HYPERLINK("#'Resumen adjudicatarios'!A303","Ver contratos")</f>
        <v>Ver contratos</v>
      </c>
      <c r="F112" s="42"/>
    </row>
    <row r="113" spans="1:6" x14ac:dyDescent="0.3">
      <c r="A113" s="45" t="s">
        <v>315</v>
      </c>
      <c r="B113" s="46">
        <v>2</v>
      </c>
      <c r="C113" s="47">
        <v>446006.47</v>
      </c>
      <c r="D113" s="45" t="s">
        <v>935</v>
      </c>
      <c r="E113" s="45" t="str">
        <f>HYPERLINK("#'Resumen adjudicatarios'!A305","Ver contratos")</f>
        <v>Ver contratos</v>
      </c>
      <c r="F113" s="45"/>
    </row>
    <row r="114" spans="1:6" ht="28.95" customHeight="1" x14ac:dyDescent="0.3">
      <c r="A114" s="42" t="s">
        <v>724</v>
      </c>
      <c r="B114" s="43">
        <v>1</v>
      </c>
      <c r="C114" s="44">
        <v>16940</v>
      </c>
      <c r="D114" s="42" t="s">
        <v>936</v>
      </c>
      <c r="E114" s="42" t="str">
        <f>HYPERLINK("#'Resumen adjudicatarios'!A307","Ver contratos")</f>
        <v>Ver contratos</v>
      </c>
      <c r="F114" s="42"/>
    </row>
    <row r="115" spans="1:6" ht="57.6" customHeight="1" x14ac:dyDescent="0.3">
      <c r="A115" s="45" t="s">
        <v>465</v>
      </c>
      <c r="B115" s="46">
        <v>13</v>
      </c>
      <c r="C115" s="47">
        <v>101692.86</v>
      </c>
      <c r="D115" s="45" t="s">
        <v>937</v>
      </c>
      <c r="E115" s="45" t="str">
        <f>HYPERLINK("#'Resumen adjudicatarios'!A308","Ver contratos")</f>
        <v>Ver contratos</v>
      </c>
      <c r="F115" s="45"/>
    </row>
    <row r="116" spans="1:6" x14ac:dyDescent="0.3">
      <c r="A116" s="42" t="s">
        <v>91</v>
      </c>
      <c r="B116" s="43">
        <v>1</v>
      </c>
      <c r="C116" s="44">
        <v>248948.56</v>
      </c>
      <c r="D116" s="42" t="s">
        <v>89</v>
      </c>
      <c r="E116" s="42" t="str">
        <f>HYPERLINK("#'Resumen adjudicatarios'!A321","Ver contratos")</f>
        <v>Ver contratos</v>
      </c>
      <c r="F116" s="42"/>
    </row>
    <row r="117" spans="1:6" x14ac:dyDescent="0.3">
      <c r="A117" s="45" t="s">
        <v>938</v>
      </c>
      <c r="B117" s="46">
        <v>1</v>
      </c>
      <c r="C117" s="47">
        <v>176321.2</v>
      </c>
      <c r="D117" s="45" t="s">
        <v>320</v>
      </c>
      <c r="E117" s="45" t="str">
        <f>HYPERLINK("#'Resumen adjudicatarios'!A322","Ver contratos")</f>
        <v>Ver contratos</v>
      </c>
      <c r="F117" s="45"/>
    </row>
    <row r="118" spans="1:6" ht="28.95" customHeight="1" x14ac:dyDescent="0.3">
      <c r="A118" s="42" t="s">
        <v>159</v>
      </c>
      <c r="B118" s="43">
        <v>1</v>
      </c>
      <c r="C118" s="44">
        <v>60500</v>
      </c>
      <c r="D118" s="42" t="s">
        <v>157</v>
      </c>
      <c r="E118" s="42" t="str">
        <f>HYPERLINK("#'Resumen adjudicatarios'!A323","Ver contratos")</f>
        <v>Ver contratos</v>
      </c>
      <c r="F118" s="42"/>
    </row>
    <row r="119" spans="1:6" ht="28.95" customHeight="1" x14ac:dyDescent="0.3">
      <c r="A119" s="45" t="s">
        <v>363</v>
      </c>
      <c r="B119" s="46">
        <v>1</v>
      </c>
      <c r="C119" s="47">
        <v>8408.06</v>
      </c>
      <c r="D119" s="45" t="s">
        <v>939</v>
      </c>
      <c r="E119" s="45" t="str">
        <f>HYPERLINK("#'Resumen adjudicatarios'!A324","Ver contratos")</f>
        <v>Ver contratos</v>
      </c>
      <c r="F119" s="45"/>
    </row>
    <row r="120" spans="1:6" x14ac:dyDescent="0.3">
      <c r="A120" s="42" t="s">
        <v>783</v>
      </c>
      <c r="B120" s="43">
        <v>1</v>
      </c>
      <c r="C120" s="44">
        <v>3961.58</v>
      </c>
      <c r="D120" s="42" t="s">
        <v>940</v>
      </c>
      <c r="E120" s="42" t="str">
        <f>HYPERLINK("#'Resumen adjudicatarios'!A325","Ver contratos")</f>
        <v>Ver contratos</v>
      </c>
      <c r="F120" s="42"/>
    </row>
    <row r="121" spans="1:6" ht="28.95" customHeight="1" x14ac:dyDescent="0.3">
      <c r="A121" s="45" t="s">
        <v>629</v>
      </c>
      <c r="B121" s="46">
        <v>1</v>
      </c>
      <c r="C121" s="47">
        <v>137798.43</v>
      </c>
      <c r="D121" s="45" t="s">
        <v>627</v>
      </c>
      <c r="E121" s="45" t="str">
        <f>HYPERLINK("#'Resumen adjudicatarios'!A326","Ver contratos")</f>
        <v>Ver contratos</v>
      </c>
      <c r="F121" s="45"/>
    </row>
    <row r="122" spans="1:6" x14ac:dyDescent="0.3">
      <c r="A122" s="42" t="s">
        <v>941</v>
      </c>
      <c r="B122" s="43">
        <v>1</v>
      </c>
      <c r="C122" s="44">
        <v>79197.289999999994</v>
      </c>
      <c r="D122" s="42" t="s">
        <v>260</v>
      </c>
      <c r="E122" s="42" t="str">
        <f>HYPERLINK("#'Resumen adjudicatarios'!A327","Ver contratos")</f>
        <v>Ver contratos</v>
      </c>
      <c r="F122" s="42"/>
    </row>
    <row r="123" spans="1:6" x14ac:dyDescent="0.3">
      <c r="A123" s="45" t="s">
        <v>752</v>
      </c>
      <c r="B123" s="46">
        <v>1</v>
      </c>
      <c r="C123" s="47">
        <v>19297.64</v>
      </c>
      <c r="D123" s="45" t="s">
        <v>942</v>
      </c>
      <c r="E123" s="45" t="str">
        <f>HYPERLINK("#'Resumen adjudicatarios'!A328","Ver contratos")</f>
        <v>Ver contratos</v>
      </c>
      <c r="F123" s="45"/>
    </row>
    <row r="124" spans="1:6" x14ac:dyDescent="0.3">
      <c r="A124" s="42" t="s">
        <v>355</v>
      </c>
      <c r="B124" s="43">
        <v>1</v>
      </c>
      <c r="C124" s="44">
        <v>255260.1</v>
      </c>
      <c r="D124" s="42" t="s">
        <v>353</v>
      </c>
      <c r="E124" s="42" t="str">
        <f>HYPERLINK("#'Resumen adjudicatarios'!A329","Ver contratos")</f>
        <v>Ver contratos</v>
      </c>
      <c r="F124" s="42"/>
    </row>
    <row r="125" spans="1:6" x14ac:dyDescent="0.3">
      <c r="A125" s="45" t="s">
        <v>706</v>
      </c>
      <c r="B125" s="46">
        <v>1</v>
      </c>
      <c r="C125" s="47">
        <v>19308.38</v>
      </c>
      <c r="D125" s="45" t="s">
        <v>943</v>
      </c>
      <c r="E125" s="45" t="str">
        <f>HYPERLINK("#'Resumen adjudicatarios'!A330","Ver contratos")</f>
        <v>Ver contratos</v>
      </c>
      <c r="F125" s="45"/>
    </row>
    <row r="126" spans="1:6" x14ac:dyDescent="0.3">
      <c r="A126" s="42" t="s">
        <v>412</v>
      </c>
      <c r="B126" s="43">
        <v>2</v>
      </c>
      <c r="C126" s="44">
        <v>18103.150000000001</v>
      </c>
      <c r="D126" s="42" t="s">
        <v>944</v>
      </c>
      <c r="E126" s="42" t="str">
        <f>HYPERLINK("#'Resumen adjudicatarios'!A331","Ver contratos")</f>
        <v>Ver contratos</v>
      </c>
      <c r="F126" s="42"/>
    </row>
    <row r="127" spans="1:6" ht="28.95" customHeight="1" x14ac:dyDescent="0.3">
      <c r="A127" s="45" t="s">
        <v>258</v>
      </c>
      <c r="B127" s="46">
        <v>1</v>
      </c>
      <c r="C127" s="47">
        <v>143421.29999999999</v>
      </c>
      <c r="D127" s="45" t="s">
        <v>256</v>
      </c>
      <c r="E127" s="45" t="str">
        <f>HYPERLINK("#'Resumen adjudicatarios'!A333","Ver contratos")</f>
        <v>Ver contratos</v>
      </c>
      <c r="F127" s="45"/>
    </row>
    <row r="128" spans="1:6" x14ac:dyDescent="0.3">
      <c r="A128" s="42" t="s">
        <v>636</v>
      </c>
      <c r="B128" s="43">
        <v>1</v>
      </c>
      <c r="C128" s="44">
        <v>19338.03</v>
      </c>
      <c r="D128" s="42" t="s">
        <v>945</v>
      </c>
      <c r="E128" s="42" t="str">
        <f>HYPERLINK("#'Resumen adjudicatarios'!A334","Ver contratos")</f>
        <v>Ver contratos</v>
      </c>
      <c r="F128" s="42"/>
    </row>
    <row r="129" spans="1:6" x14ac:dyDescent="0.3">
      <c r="A129" s="45" t="s">
        <v>648</v>
      </c>
      <c r="B129" s="46">
        <v>1</v>
      </c>
      <c r="C129" s="47">
        <v>32646.18</v>
      </c>
      <c r="D129" s="45" t="s">
        <v>946</v>
      </c>
      <c r="E129" s="45" t="str">
        <f>HYPERLINK("#'Resumen adjudicatarios'!A335","Ver contratos")</f>
        <v>Ver contratos</v>
      </c>
      <c r="F129" s="45"/>
    </row>
    <row r="130" spans="1:6" x14ac:dyDescent="0.3">
      <c r="A130" s="42" t="s">
        <v>238</v>
      </c>
      <c r="B130" s="43">
        <v>1</v>
      </c>
      <c r="C130" s="44">
        <v>129284.87</v>
      </c>
      <c r="D130" s="42" t="s">
        <v>236</v>
      </c>
      <c r="E130" s="42" t="str">
        <f>HYPERLINK("#'Resumen adjudicatarios'!A336","Ver contratos")</f>
        <v>Ver contratos</v>
      </c>
      <c r="F130" s="42"/>
    </row>
    <row r="131" spans="1:6" ht="28.95" customHeight="1" x14ac:dyDescent="0.3">
      <c r="A131" s="45" t="s">
        <v>56</v>
      </c>
      <c r="B131" s="46">
        <v>1</v>
      </c>
      <c r="C131" s="47">
        <v>1061943.3799999999</v>
      </c>
      <c r="D131" s="45" t="s">
        <v>52</v>
      </c>
      <c r="E131" s="45" t="str">
        <f>HYPERLINK("#'Resumen adjudicatarios'!A337","Ver contratos")</f>
        <v>Ver contratos</v>
      </c>
      <c r="F131" s="45"/>
    </row>
    <row r="132" spans="1:6" x14ac:dyDescent="0.3">
      <c r="A132" s="42" t="s">
        <v>664</v>
      </c>
      <c r="B132" s="43">
        <v>1</v>
      </c>
      <c r="C132" s="44">
        <v>299200</v>
      </c>
      <c r="D132" s="42" t="s">
        <v>661</v>
      </c>
      <c r="E132" s="42" t="str">
        <f>HYPERLINK("#'Resumen adjudicatarios'!A338","Ver contratos")</f>
        <v>Ver contratos</v>
      </c>
      <c r="F132" s="42"/>
    </row>
    <row r="133" spans="1:6" x14ac:dyDescent="0.3">
      <c r="A133" s="45" t="s">
        <v>653</v>
      </c>
      <c r="B133" s="46">
        <v>1</v>
      </c>
      <c r="C133" s="47">
        <v>722028.45</v>
      </c>
      <c r="D133" s="45" t="s">
        <v>650</v>
      </c>
      <c r="E133" s="45" t="str">
        <f>HYPERLINK("#'Resumen adjudicatarios'!A339","Ver contratos")</f>
        <v>Ver contratos</v>
      </c>
      <c r="F133" s="45"/>
    </row>
    <row r="134" spans="1:6" x14ac:dyDescent="0.3">
      <c r="A134" s="42" t="s">
        <v>947</v>
      </c>
      <c r="B134" s="43">
        <v>1</v>
      </c>
      <c r="C134" s="44">
        <v>94040.6</v>
      </c>
      <c r="D134" s="42" t="s">
        <v>274</v>
      </c>
      <c r="E134" s="42" t="str">
        <f>HYPERLINK("#'Resumen adjudicatarios'!A340","Ver contratos")</f>
        <v>Ver contratos</v>
      </c>
      <c r="F134" s="42"/>
    </row>
    <row r="135" spans="1:6" ht="28.95" customHeight="1" x14ac:dyDescent="0.3">
      <c r="A135" s="45" t="s">
        <v>286</v>
      </c>
      <c r="B135" s="46">
        <v>1</v>
      </c>
      <c r="C135" s="47">
        <v>6008.67</v>
      </c>
      <c r="D135" s="45" t="s">
        <v>948</v>
      </c>
      <c r="E135" s="45" t="str">
        <f>HYPERLINK("#'Resumen adjudicatarios'!A341","Ver contratos")</f>
        <v>Ver contratos</v>
      </c>
      <c r="F135" s="45"/>
    </row>
    <row r="136" spans="1:6" ht="28.95" customHeight="1" x14ac:dyDescent="0.3">
      <c r="A136" s="42" t="s">
        <v>122</v>
      </c>
      <c r="B136" s="43">
        <v>1</v>
      </c>
      <c r="C136" s="44">
        <v>4116.22</v>
      </c>
      <c r="D136" s="42" t="s">
        <v>120</v>
      </c>
      <c r="E136" s="42" t="str">
        <f>HYPERLINK("#'Resumen adjudicatarios'!A342","Ver contratos")</f>
        <v>Ver contratos</v>
      </c>
      <c r="F136" s="42"/>
    </row>
    <row r="137" spans="1:6" x14ac:dyDescent="0.3">
      <c r="A137" s="45" t="s">
        <v>63</v>
      </c>
      <c r="B137" s="46">
        <v>1</v>
      </c>
      <c r="C137" s="47">
        <v>10977417.189999999</v>
      </c>
      <c r="D137" s="45" t="s">
        <v>60</v>
      </c>
      <c r="E137" s="45" t="str">
        <f>HYPERLINK("#'Resumen adjudicatarios'!A343","Ver contratos")</f>
        <v>Ver contratos</v>
      </c>
      <c r="F137" s="45"/>
    </row>
    <row r="138" spans="1:6" x14ac:dyDescent="0.3">
      <c r="A138" s="42" t="s">
        <v>949</v>
      </c>
      <c r="B138" s="43">
        <v>1</v>
      </c>
      <c r="C138" s="44">
        <v>102942.26</v>
      </c>
      <c r="D138" s="42" t="s">
        <v>77</v>
      </c>
      <c r="E138" s="42" t="str">
        <f>HYPERLINK("#'Resumen adjudicatarios'!A344","Ver contratos")</f>
        <v>Ver contratos</v>
      </c>
      <c r="F138" s="42"/>
    </row>
    <row r="139" spans="1:6" x14ac:dyDescent="0.3">
      <c r="A139" s="45" t="s">
        <v>686</v>
      </c>
      <c r="B139" s="46">
        <v>1</v>
      </c>
      <c r="C139" s="47">
        <v>57354</v>
      </c>
      <c r="D139" s="45" t="s">
        <v>950</v>
      </c>
      <c r="E139" s="45" t="str">
        <f>HYPERLINK("#'Resumen adjudicatarios'!A345","Ver contratos")</f>
        <v>Ver contratos</v>
      </c>
      <c r="F139" s="45"/>
    </row>
    <row r="140" spans="1:6" x14ac:dyDescent="0.3">
      <c r="A140" s="42" t="s">
        <v>440</v>
      </c>
      <c r="B140" s="43">
        <v>1</v>
      </c>
      <c r="C140" s="44">
        <v>28250.5</v>
      </c>
      <c r="D140" s="42" t="s">
        <v>438</v>
      </c>
      <c r="E140" s="42" t="str">
        <f>HYPERLINK("#'Resumen adjudicatarios'!A346","Ver contratos")</f>
        <v>Ver contratos</v>
      </c>
      <c r="F140" s="42"/>
    </row>
    <row r="141" spans="1:6" ht="43.2" customHeight="1" x14ac:dyDescent="0.3">
      <c r="A141" s="45" t="s">
        <v>33</v>
      </c>
      <c r="B141" s="46">
        <v>2</v>
      </c>
      <c r="C141" s="47">
        <v>108583.32</v>
      </c>
      <c r="D141" s="45" t="s">
        <v>951</v>
      </c>
      <c r="E141" s="45" t="str">
        <f>HYPERLINK("#'Resumen adjudicatarios'!A347","Ver contratos")</f>
        <v>Ver contratos</v>
      </c>
      <c r="F141" s="45"/>
    </row>
    <row r="142" spans="1:6" x14ac:dyDescent="0.3">
      <c r="A142" s="42" t="s">
        <v>195</v>
      </c>
      <c r="B142" s="43">
        <v>1</v>
      </c>
      <c r="C142" s="44">
        <v>38115</v>
      </c>
      <c r="D142" s="42" t="s">
        <v>193</v>
      </c>
      <c r="E142" s="42" t="str">
        <f>HYPERLINK("#'Resumen adjudicatarios'!A349","Ver contratos")</f>
        <v>Ver contratos</v>
      </c>
      <c r="F142" s="42"/>
    </row>
    <row r="143" spans="1:6" x14ac:dyDescent="0.3">
      <c r="A143" s="45" t="s">
        <v>432</v>
      </c>
      <c r="B143" s="46">
        <v>1</v>
      </c>
      <c r="C143" s="47">
        <v>28946.5</v>
      </c>
      <c r="D143" s="45" t="s">
        <v>430</v>
      </c>
      <c r="E143" s="45" t="str">
        <f>HYPERLINK("#'Resumen adjudicatarios'!A350","Ver contratos")</f>
        <v>Ver contratos</v>
      </c>
      <c r="F143" s="45"/>
    </row>
    <row r="144" spans="1:6" x14ac:dyDescent="0.3">
      <c r="A144" s="42" t="s">
        <v>811</v>
      </c>
      <c r="B144" s="43">
        <v>1</v>
      </c>
      <c r="C144" s="44">
        <v>187550</v>
      </c>
      <c r="D144" s="42" t="s">
        <v>809</v>
      </c>
      <c r="E144" s="42" t="str">
        <f>HYPERLINK("#'Resumen adjudicatarios'!A351","Ver contratos")</f>
        <v>Ver contratos</v>
      </c>
      <c r="F144" s="42"/>
    </row>
    <row r="145" spans="1:6" ht="72" customHeight="1" x14ac:dyDescent="0.3">
      <c r="A145" s="45" t="s">
        <v>282</v>
      </c>
      <c r="B145" s="46">
        <v>1</v>
      </c>
      <c r="C145" s="47">
        <v>217654.8</v>
      </c>
      <c r="D145" s="45" t="s">
        <v>280</v>
      </c>
      <c r="E145" s="45" t="str">
        <f>HYPERLINK("#'Resumen adjudicatarios'!A352","Ver contratos")</f>
        <v>Ver contratos</v>
      </c>
      <c r="F145" s="45"/>
    </row>
    <row r="146" spans="1:6" x14ac:dyDescent="0.3">
      <c r="A146" s="42" t="s">
        <v>394</v>
      </c>
      <c r="B146" s="43">
        <v>1</v>
      </c>
      <c r="C146" s="44">
        <v>12251.26</v>
      </c>
      <c r="D146" s="42" t="s">
        <v>952</v>
      </c>
      <c r="E146" s="42" t="str">
        <f>HYPERLINK("#'Resumen adjudicatarios'!A353","Ver contratos")</f>
        <v>Ver contratos</v>
      </c>
      <c r="F146" s="42"/>
    </row>
    <row r="147" spans="1:6" ht="115.2" customHeight="1" x14ac:dyDescent="0.3">
      <c r="A147" s="45" t="s">
        <v>586</v>
      </c>
      <c r="B147" s="46">
        <v>1</v>
      </c>
      <c r="C147" s="47"/>
      <c r="D147" s="45" t="s">
        <v>584</v>
      </c>
      <c r="E147" s="45" t="str">
        <f>HYPERLINK("#'Resumen adjudicatarios'!A354","Ver contratos")</f>
        <v>Ver contratos</v>
      </c>
      <c r="F147" s="45" t="s">
        <v>899</v>
      </c>
    </row>
    <row r="148" spans="1:6" ht="28.95" customHeight="1" x14ac:dyDescent="0.3">
      <c r="A148" s="42" t="s">
        <v>118</v>
      </c>
      <c r="B148" s="43">
        <v>2</v>
      </c>
      <c r="C148" s="44">
        <v>325725.46999999997</v>
      </c>
      <c r="D148" s="42" t="s">
        <v>953</v>
      </c>
      <c r="E148" s="42" t="str">
        <f>HYPERLINK("#'Resumen adjudicatarios'!A355","Ver contratos")</f>
        <v>Ver contratos</v>
      </c>
      <c r="F148" s="42"/>
    </row>
    <row r="150" spans="1:6" ht="30" customHeight="1" x14ac:dyDescent="0.3">
      <c r="A150" s="77" t="s">
        <v>954</v>
      </c>
      <c r="B150" s="65"/>
      <c r="C150" s="65"/>
      <c r="D150" s="65"/>
      <c r="E150" s="65"/>
      <c r="F150" s="65"/>
    </row>
    <row r="152" spans="1:6" ht="24" customHeight="1" x14ac:dyDescent="0.3">
      <c r="A152" s="74" t="s">
        <v>955</v>
      </c>
      <c r="B152" s="65"/>
      <c r="C152" s="65"/>
      <c r="D152" s="65"/>
      <c r="E152" s="65"/>
      <c r="F152" s="65"/>
    </row>
    <row r="153" spans="1:6" ht="26.1" customHeight="1" x14ac:dyDescent="0.3">
      <c r="A153" s="60" t="s">
        <v>5</v>
      </c>
      <c r="B153" s="60" t="s">
        <v>956</v>
      </c>
      <c r="C153" s="60" t="s">
        <v>1</v>
      </c>
      <c r="D153" s="60" t="s">
        <v>957</v>
      </c>
      <c r="E153" s="60" t="s">
        <v>958</v>
      </c>
      <c r="F153" s="60" t="s">
        <v>959</v>
      </c>
    </row>
    <row r="154" spans="1:6" ht="28.95" customHeight="1" x14ac:dyDescent="0.3">
      <c r="A154" s="42" t="s">
        <v>221</v>
      </c>
      <c r="B154" s="42" t="str">
        <f>HYPERLINK("#'Contratos 2025'!A46","2024/PA/030")</f>
        <v>2024/PA/030</v>
      </c>
      <c r="C154" s="42" t="s">
        <v>219</v>
      </c>
      <c r="D154" s="44" t="s">
        <v>222</v>
      </c>
      <c r="E154" s="42" t="s">
        <v>223</v>
      </c>
      <c r="F154" s="42" t="str">
        <f>HYPERLINK("https://contrataciondelestado.es/wps/poc?uri=deeplink:detalle_licitacion&amp;idEvl=xbFkmIBHr9kZDGvgaZEVxQ%3D%3D","Ver ficha publicada")</f>
        <v>Ver ficha publicada</v>
      </c>
    </row>
    <row r="155" spans="1:6" ht="28.95" customHeight="1" x14ac:dyDescent="0.3">
      <c r="A155" s="42" t="s">
        <v>67</v>
      </c>
      <c r="B155" s="42" t="str">
        <f>HYPERLINK("#'Contratos 2025'!A11","2025/PAS/001")</f>
        <v>2025/PAS/001</v>
      </c>
      <c r="C155" s="42" t="s">
        <v>66</v>
      </c>
      <c r="D155" s="44">
        <v>164522.56</v>
      </c>
      <c r="E155" s="42">
        <v>45847</v>
      </c>
      <c r="F155" s="42" t="str">
        <f>HYPERLINK("https://contrataciondelestado.es/wps/poc?uri=deeplink:detalle_licitacion&amp;idEvl=M79z5xw4uTe8ebB%2FXTwy0A%3D%3D","Ver ficha publicada")</f>
        <v>Ver ficha publicada</v>
      </c>
    </row>
    <row r="156" spans="1:6" x14ac:dyDescent="0.3">
      <c r="A156" s="42" t="s">
        <v>243</v>
      </c>
      <c r="B156" s="42" t="str">
        <f>HYPERLINK("#'Contratos 2025'!A50","2024/PA/037")</f>
        <v>2024/PA/037</v>
      </c>
      <c r="C156" s="42" t="s">
        <v>242</v>
      </c>
      <c r="D156" s="44">
        <v>273901.64</v>
      </c>
      <c r="E156" s="42">
        <v>45827</v>
      </c>
      <c r="F156" s="42" t="str">
        <f>HYPERLINK("https://contrataciondelestado.es/wps/poc?uri=deeplink:detalle_licitacion&amp;idEvl=Fy0pNzw4F0SsNfRW6APEDw%3D%3D","Ver ficha publicada")</f>
        <v>Ver ficha publicada</v>
      </c>
    </row>
    <row r="157" spans="1:6" ht="28.95" customHeight="1" x14ac:dyDescent="0.3">
      <c r="A157" s="42" t="s">
        <v>745</v>
      </c>
      <c r="B157" s="42" t="str">
        <f>HYPERLINK("#'Contratos 2025'!A176","2025/PASA/010")</f>
        <v>2025/PASA/010</v>
      </c>
      <c r="C157" s="42" t="s">
        <v>744</v>
      </c>
      <c r="D157" s="44">
        <v>23462.94</v>
      </c>
      <c r="E157" s="42">
        <v>45849</v>
      </c>
      <c r="F157" s="42" t="str">
        <f>HYPERLINK("https://contrataciondelestado.es/wps/poc?uri=deeplink:detalle_licitacion&amp;idEvl=Lmfh%2BOxG3NScTfjQf3USOg%3D%3D","Ver ficha publicada")</f>
        <v>Ver ficha publicada</v>
      </c>
    </row>
    <row r="158" spans="1:6" ht="28.95" customHeight="1" x14ac:dyDescent="0.3">
      <c r="A158" s="42" t="s">
        <v>87</v>
      </c>
      <c r="B158" s="42" t="str">
        <f>HYPERLINK("#'Contratos 2025'!A16","2025/PAS/008")</f>
        <v>2025/PAS/008</v>
      </c>
      <c r="C158" s="42" t="s">
        <v>86</v>
      </c>
      <c r="D158" s="44">
        <v>200940.04</v>
      </c>
      <c r="E158" s="42">
        <v>45859</v>
      </c>
      <c r="F158" s="42" t="str">
        <f>HYPERLINK("https://contrataciondelestado.es/wps/poc?uri=deeplink:detalle_licitacion&amp;idEvl=WE7Isy5vr8D9pbnDwlaUlg%3D%3D","Ver ficha publicada")</f>
        <v>Ver ficha publicada</v>
      </c>
    </row>
    <row r="159" spans="1:6" ht="28.95" customHeight="1" x14ac:dyDescent="0.3">
      <c r="A159" s="42" t="s">
        <v>377</v>
      </c>
      <c r="B159" s="42" t="str">
        <f>HYPERLINK("#'Contratos 2025'!A86","2025/PA/032 · Lote 1")</f>
        <v>2025/PA/032 · Lote 1</v>
      </c>
      <c r="C159" s="42" t="s">
        <v>376</v>
      </c>
      <c r="D159" s="44">
        <v>94985</v>
      </c>
      <c r="E159" s="42">
        <v>46010</v>
      </c>
      <c r="F159" s="42" t="str">
        <f>HYPERLINK("https://contrataciondelestado.es/wps/poc?uri=deeplink:detalle_licitacion&amp;idEvl=a5bCiSgiKgD10HRJw8TEnQ%3D%3D","Ver ficha publicada")</f>
        <v>Ver ficha publicada</v>
      </c>
    </row>
    <row r="160" spans="1:6" ht="28.95" customHeight="1" x14ac:dyDescent="0.3">
      <c r="A160" s="42"/>
      <c r="B160" s="42" t="str">
        <f>HYPERLINK("#'Contratos 2025'!A101","2025/PASA/020 · Lote 1")</f>
        <v>2025/PASA/020 · Lote 1</v>
      </c>
      <c r="C160" s="42" t="s">
        <v>443</v>
      </c>
      <c r="D160" s="44">
        <v>14190</v>
      </c>
      <c r="E160" s="42">
        <v>46000</v>
      </c>
      <c r="F160" s="42" t="str">
        <f>HYPERLINK("https://contrataciondelestado.es/wps/poc?uri=deeplink:detalle_licitacion&amp;idEvl=dqfgokKYmJtLAIVZdUs8KA%3D%3D","Ver ficha publicada")</f>
        <v>Ver ficha publicada</v>
      </c>
    </row>
    <row r="161" spans="1:6" ht="43.2" customHeight="1" x14ac:dyDescent="0.3">
      <c r="A161" s="42" t="s">
        <v>868</v>
      </c>
      <c r="B161" s="42" t="str">
        <f>HYPERLINK("#'Contratos 2025'!A202","2024/PA/034 · LOTE 2")</f>
        <v>2024/PA/034 · LOTE 2</v>
      </c>
      <c r="C161" s="42" t="s">
        <v>835</v>
      </c>
      <c r="D161" s="44" t="s">
        <v>847</v>
      </c>
      <c r="E161" s="42" t="s">
        <v>467</v>
      </c>
      <c r="F161" s="42" t="str">
        <f>HYPERLINK("https://contrataciondelestado.es/wps/poc?uri=deeplink:detalle_licitacion&amp;idEvl=U%2FXKnY4zs0wZDGvgaZEVxQ%3D%3D","Ver ficha publicada")</f>
        <v>Ver ficha publicada</v>
      </c>
    </row>
    <row r="162" spans="1:6" ht="28.95" customHeight="1" x14ac:dyDescent="0.3">
      <c r="A162" s="42" t="s">
        <v>234</v>
      </c>
      <c r="B162" s="42" t="str">
        <f>HYPERLINK("#'Contratos 2025'!A48","2024/PA/033")</f>
        <v>2024/PA/033</v>
      </c>
      <c r="C162" s="42" t="s">
        <v>233</v>
      </c>
      <c r="D162" s="44">
        <v>388471.71</v>
      </c>
      <c r="E162" s="42">
        <v>45936</v>
      </c>
      <c r="F162" s="42" t="str">
        <f>HYPERLINK("https://contrataciondelestado.es/wps/poc?uri=deeplink:detalle_licitacion&amp;idEvl=pCKorO91TzQaF6cS8TCh%2FA%3D%3D","Ver ficha publicada")</f>
        <v>Ver ficha publicada</v>
      </c>
    </row>
    <row r="163" spans="1:6" ht="57.6" customHeight="1" x14ac:dyDescent="0.3">
      <c r="A163" s="42" t="s">
        <v>407</v>
      </c>
      <c r="B163" s="42" t="str">
        <f>HYPERLINK("#'Contratos 2025'!A93","2025/PASA/002 Lotes 1, 2, 3 y 4")</f>
        <v>2025/PASA/002 Lotes 1, 2, 3 y 4</v>
      </c>
      <c r="C163" s="42" t="s">
        <v>406</v>
      </c>
      <c r="D163" s="44" t="s">
        <v>408</v>
      </c>
      <c r="E163" s="42">
        <v>45824</v>
      </c>
      <c r="F163" s="42" t="str">
        <f>HYPERLINK("https://contrataciondelestado.es/wps/poc?uri=deeplink:detalle_licitacion&amp;idEvl=4hyyCq8wxaQ7%2B9FIQYNjeQ%3D%3D","Ver ficha publicada")</f>
        <v>Ver ficha publicada</v>
      </c>
    </row>
    <row r="164" spans="1:6" ht="28.95" customHeight="1" x14ac:dyDescent="0.3">
      <c r="A164" s="42" t="s">
        <v>759</v>
      </c>
      <c r="B164" s="42" t="str">
        <f>HYPERLINK("#'Contratos 2025'!A84","2025/PA/024")</f>
        <v>2025/PA/024</v>
      </c>
      <c r="C164" s="42" t="s">
        <v>369</v>
      </c>
      <c r="D164" s="44">
        <v>492480</v>
      </c>
      <c r="E164" s="42">
        <v>46014</v>
      </c>
      <c r="F164" s="42" t="str">
        <f>HYPERLINK("https://contrataciondelestado.es/wps/poc?uri=deeplink:detalle_licitacion&amp;idEvl=FjONckfEQaItm4eBPtV6eQ%3D%3D","Ver ficha publicada")</f>
        <v>Ver ficha publicada</v>
      </c>
    </row>
    <row r="165" spans="1:6" ht="43.2" customHeight="1" x14ac:dyDescent="0.3">
      <c r="A165" s="42"/>
      <c r="B165" s="42" t="str">
        <f>HYPERLINK("#'Contratos 2025'!A180","2025/PASA/012 · Lote 3")</f>
        <v>2025/PASA/012 · Lote 3</v>
      </c>
      <c r="C165" s="42" t="s">
        <v>758</v>
      </c>
      <c r="D165" s="44">
        <v>35722.94</v>
      </c>
      <c r="E165" s="42">
        <v>45995</v>
      </c>
      <c r="F165" s="42" t="str">
        <f>HYPERLINK("https://contrataciondelestado.es/wps/poc?uri=deeplink:detalle_licitacion&amp;idEvl=HPbzJfQcrPFq1DdmE7eaXg%3D%3D","Ver ficha publicada")</f>
        <v>Ver ficha publicada</v>
      </c>
    </row>
    <row r="166" spans="1:6" ht="28.95" customHeight="1" x14ac:dyDescent="0.3">
      <c r="A166" s="42" t="s">
        <v>694</v>
      </c>
      <c r="B166" s="42" t="str">
        <f>HYPERLINK("#'Contratos 2025'!A163","2025/PA/027")</f>
        <v>2025/PA/027</v>
      </c>
      <c r="C166" s="42" t="s">
        <v>693</v>
      </c>
      <c r="D166" s="44">
        <v>159320.70000000001</v>
      </c>
      <c r="E166" s="42">
        <v>46014</v>
      </c>
      <c r="F166" s="42" t="str">
        <f>HYPERLINK("https://contrataciondelestado.es/wps/poc?uri=deeplink:detalle_licitacion&amp;idEvl=KEZeQ7VmDSBq1DdmE7eaXg%3D%3D","Ver ficha publicada")</f>
        <v>Ver ficha publicada</v>
      </c>
    </row>
    <row r="167" spans="1:6" ht="43.2" customHeight="1" x14ac:dyDescent="0.3">
      <c r="A167" s="42" t="s">
        <v>681</v>
      </c>
      <c r="B167" s="42" t="str">
        <f>HYPERLINK("#'Contratos 2025'!A160","2025/PA/016 · Lotes 1 Y 2")</f>
        <v>2025/PA/016 · Lotes 1 Y 2</v>
      </c>
      <c r="C167" s="42" t="s">
        <v>680</v>
      </c>
      <c r="D167" s="44" t="s">
        <v>682</v>
      </c>
      <c r="E167" s="42">
        <v>45965</v>
      </c>
      <c r="F167" s="42" t="str">
        <f>HYPERLINK("https://contrataciondelestado.es/wps/poc?uri=deeplink:detalle_licitacion&amp;idEvl=nhMI3UzGafg3vLk2DU2Ddg%3D%3D","Ver ficha publicada")</f>
        <v>Ver ficha publicada</v>
      </c>
    </row>
    <row r="168" spans="1:6" ht="57.6" customHeight="1" x14ac:dyDescent="0.3">
      <c r="A168" s="42" t="s">
        <v>689</v>
      </c>
      <c r="B168" s="42" t="str">
        <f>HYPERLINK("#'Contratos 2025'!A162","2025/PA/019 · Lotes 1 y 2")</f>
        <v>2025/PA/019 · Lotes 1 y 2</v>
      </c>
      <c r="C168" s="42" t="s">
        <v>688</v>
      </c>
      <c r="D168" s="44" t="s">
        <v>690</v>
      </c>
      <c r="E168" s="42">
        <v>45975</v>
      </c>
      <c r="F168" s="42" t="str">
        <f>HYPERLINK("https://contrataciondelestado.es/wps/poc?uri=deeplink:detalle_licitacion&amp;idEvl=0WSMZ%2F9aeZ%2BExvMJXBMHHQ%3D%3D","Ver ficha publicada")</f>
        <v>Ver ficha publicada</v>
      </c>
    </row>
    <row r="169" spans="1:6" ht="28.95" customHeight="1" x14ac:dyDescent="0.3">
      <c r="A169" s="42" t="s">
        <v>214</v>
      </c>
      <c r="B169" s="42" t="str">
        <f>HYPERLINK("#'Contratos 2025'!A45","2024/PA/020")</f>
        <v>2024/PA/020</v>
      </c>
      <c r="C169" s="42" t="s">
        <v>212</v>
      </c>
      <c r="D169" s="44" t="s">
        <v>215</v>
      </c>
      <c r="E169" s="42" t="s">
        <v>216</v>
      </c>
      <c r="F169" s="42" t="str">
        <f>HYPERLINK("https://contrataciondelestado.es/wps/poc?uri=deeplink:detalle_licitacion&amp;idEvl=JMWTwJUoJ4aqb7rCcv76BA%3D%3D","Ver ficha publicada")</f>
        <v>Ver ficha publicada</v>
      </c>
    </row>
    <row r="170" spans="1:6" ht="43.2" customHeight="1" x14ac:dyDescent="0.3">
      <c r="A170" s="42" t="s">
        <v>129</v>
      </c>
      <c r="B170" s="42" t="str">
        <f>HYPERLINK("#'Contratos 2025'!A26","2025/CB/054")</f>
        <v>2025/CB/054</v>
      </c>
      <c r="C170" s="42" t="s">
        <v>128</v>
      </c>
      <c r="D170" s="44">
        <v>61417.63</v>
      </c>
      <c r="E170" s="42" t="s">
        <v>130</v>
      </c>
      <c r="F170" s="42" t="str">
        <f>HYPERLINK("https://contrataciondelestado.es/wps/poc?uri=deeplink:detalle_licitacion&amp;idEvl=EoaMPbete8hWhbmkna2nXQ%3D%3D","Ver ficha publicada")</f>
        <v>Ver ficha publicada</v>
      </c>
    </row>
    <row r="171" spans="1:6" ht="28.95" customHeight="1" x14ac:dyDescent="0.3">
      <c r="A171" s="42" t="s">
        <v>366</v>
      </c>
      <c r="B171" s="42" t="str">
        <f>HYPERLINK("#'Contratos 2025'!A51","2024/PA/038 · Lote 1")</f>
        <v>2024/PA/038 · Lote 1</v>
      </c>
      <c r="C171" s="42" t="s">
        <v>246</v>
      </c>
      <c r="D171" s="44">
        <v>7139</v>
      </c>
      <c r="E171" s="42" t="s">
        <v>248</v>
      </c>
      <c r="F171" s="42" t="str">
        <f>HYPERLINK("https://contrataciondelestado.es/wps/poc?uri=deeplink:detalle_licitacion&amp;idEvl=bVsTj1ufNZSqb7rCcv76BA%3D%3D","Ver ficha publicada")</f>
        <v>Ver ficha publicada</v>
      </c>
    </row>
    <row r="172" spans="1:6" ht="28.95" customHeight="1" x14ac:dyDescent="0.3">
      <c r="A172" s="42"/>
      <c r="B172" s="42" t="str">
        <f>HYPERLINK("#'Contratos 2025'!A83","2025/PA/023")</f>
        <v>2025/PA/023</v>
      </c>
      <c r="C172" s="42" t="s">
        <v>365</v>
      </c>
      <c r="D172" s="44">
        <v>79627.679999999993</v>
      </c>
      <c r="E172" s="42">
        <v>46021</v>
      </c>
      <c r="F172" s="42" t="str">
        <f>HYPERLINK("https://contrataciondelestado.es/wps/poc?uri=deeplink:detalle_licitacion&amp;idEvl=bXp3i5Czi1Il5NjlNci%2BtA%3D%3D","Ver ficha publicada")</f>
        <v>Ver ficha publicada</v>
      </c>
    </row>
    <row r="173" spans="1:6" ht="43.2" customHeight="1" x14ac:dyDescent="0.3">
      <c r="A173" s="42" t="s">
        <v>874</v>
      </c>
      <c r="B173" s="42" t="str">
        <f>HYPERLINK("#'Contratos 2025'!A34","2025/NSIN/008")</f>
        <v>2025/NSIN/008</v>
      </c>
      <c r="C173" s="42" t="s">
        <v>165</v>
      </c>
      <c r="D173" s="44">
        <v>102850</v>
      </c>
      <c r="E173" s="42">
        <v>45883</v>
      </c>
      <c r="F173" s="42" t="str">
        <f>HYPERLINK("https://contrataciondelestado.es/wps/poc?uri=deeplink:detalle_licitacion&amp;idEvl=iBiECPjxuGOAAM7L03kM8A%3D%3D","Ver ficha publicada")</f>
        <v>Ver ficha publicada</v>
      </c>
    </row>
    <row r="174" spans="1:6" ht="28.95" customHeight="1" x14ac:dyDescent="0.3">
      <c r="A174" s="42" t="s">
        <v>49</v>
      </c>
      <c r="B174" s="42" t="str">
        <f>HYPERLINK("#'Contratos 2025'!A8","2025/PASA/001 · Lote 3")</f>
        <v>2025/PASA/001 · Lote 3</v>
      </c>
      <c r="C174" s="42" t="s">
        <v>48</v>
      </c>
      <c r="D174" s="44" t="s">
        <v>50</v>
      </c>
      <c r="E174" s="42" t="s">
        <v>51</v>
      </c>
      <c r="F174" s="42" t="str">
        <f>HYPERLINK("https://contrataciondelestado.es/wps/poc?uri=deeplink:detalle_licitacion&amp;idEvl=rNjIfyUxlY%2BopEMYCmrbmw%3D%3D","Ver ficha publicada")</f>
        <v>Ver ficha publicada</v>
      </c>
    </row>
    <row r="175" spans="1:6" ht="28.95" customHeight="1" x14ac:dyDescent="0.3">
      <c r="A175" s="42" t="s">
        <v>876</v>
      </c>
      <c r="B175" s="42" t="str">
        <f>HYPERLINK("#'Contratos 2025'!A165","2025/PAS/006")</f>
        <v>2025/PAS/006</v>
      </c>
      <c r="C175" s="42" t="s">
        <v>701</v>
      </c>
      <c r="D175" s="44">
        <v>17964</v>
      </c>
      <c r="E175" s="42">
        <v>45978</v>
      </c>
      <c r="F175" s="42" t="str">
        <f>HYPERLINK("https://contrataciondelestado.es/wps/poc?uri=deeplink:detalle_licitacion&amp;idEvl=gFnSqH2hB0WAAM7L03kM8A%3D%3D","Ver ficha publicada")</f>
        <v>Ver ficha publicada</v>
      </c>
    </row>
    <row r="176" spans="1:6" ht="28.95" customHeight="1" x14ac:dyDescent="0.3">
      <c r="A176" s="42" t="s">
        <v>136</v>
      </c>
      <c r="B176" s="42" t="str">
        <f>HYPERLINK("#'Contratos 2025'!A27","2024/NSIN/011")</f>
        <v>2024/NSIN/011</v>
      </c>
      <c r="C176" s="42" t="s">
        <v>133</v>
      </c>
      <c r="D176" s="44" t="s">
        <v>137</v>
      </c>
      <c r="E176" s="42" t="s">
        <v>138</v>
      </c>
      <c r="F176" s="42" t="str">
        <f>HYPERLINK("https://contrataciondelestado.es/wps/poc?uri=deeplink:detalle_licitacion&amp;idEvl=tmo8y1MhffB9Zh%2FyRJgM8w%3D%3D","Ver ficha publicada")</f>
        <v>Ver ficha publicada</v>
      </c>
    </row>
    <row r="177" spans="1:6" ht="28.95" customHeight="1" x14ac:dyDescent="0.3">
      <c r="A177" s="42"/>
      <c r="B177" s="42" t="str">
        <f>HYPERLINK("#'Contratos 2025'!A31","2025/NSIN/005")</f>
        <v>2025/NSIN/005</v>
      </c>
      <c r="C177" s="42" t="s">
        <v>155</v>
      </c>
      <c r="D177" s="44">
        <v>35695</v>
      </c>
      <c r="E177" s="42">
        <v>45849</v>
      </c>
      <c r="F177" s="42" t="str">
        <f>HYPERLINK("https://contrataciondelestado.es/wps/poc?uri=deeplink:detalle_licitacion&amp;idEvl=d7kaRfqUZv75Rey58Yagpg%3D%3D","Ver ficha publicada")</f>
        <v>Ver ficha publicada</v>
      </c>
    </row>
    <row r="178" spans="1:6" ht="28.95" customHeight="1" x14ac:dyDescent="0.3">
      <c r="A178" s="42"/>
      <c r="B178" s="42" t="str">
        <f>HYPERLINK("#'Contratos 2025'!A38","2025/NSIN/018")</f>
        <v>2025/NSIN/018</v>
      </c>
      <c r="C178" s="42" t="s">
        <v>179</v>
      </c>
      <c r="D178" s="44">
        <v>22687.5</v>
      </c>
      <c r="E178" s="42">
        <v>46010</v>
      </c>
      <c r="F178" s="42" t="str">
        <f>HYPERLINK("https://contrataciondelestado.es/wps/poc?uri=deeplink:detalle_licitacion&amp;idEvl=R7HNImvQdtt9PLkba5eRog%3D%3D","Ver ficha publicada")</f>
        <v>Ver ficha publicada</v>
      </c>
    </row>
    <row r="179" spans="1:6" ht="28.95" customHeight="1" x14ac:dyDescent="0.3">
      <c r="A179" s="42" t="s">
        <v>300</v>
      </c>
      <c r="B179" s="42" t="str">
        <f>HYPERLINK("#'Contratos 2025'!A64","2025/PA/006-LOTE 10")</f>
        <v>2025/PA/006-LOTE 10</v>
      </c>
      <c r="C179" s="42" t="s">
        <v>299</v>
      </c>
      <c r="D179" s="44">
        <v>8011.56</v>
      </c>
      <c r="E179" s="42" t="s">
        <v>301</v>
      </c>
      <c r="F179" s="42" t="str">
        <f>HYPERLINK("https://contrataciondelestado.es/wps/poc?uri=deeplink:detalle_licitacion&amp;idEvl=kiFEiEBmh8pWhbmkna2nXQ%3D%3D","Ver ficha publicada")</f>
        <v>Ver ficha publicada</v>
      </c>
    </row>
    <row r="180" spans="1:6" ht="28.95" customHeight="1" x14ac:dyDescent="0.3">
      <c r="A180" s="42" t="s">
        <v>293</v>
      </c>
      <c r="B180" s="42" t="str">
        <f>HYPERLINK("#'Contratos 2025'!A62","2025/PA/006 · Lote 7")</f>
        <v>2025/PA/006 · Lote 7</v>
      </c>
      <c r="C180" s="42" t="s">
        <v>292</v>
      </c>
      <c r="D180" s="44">
        <v>12017.33</v>
      </c>
      <c r="E180" s="42">
        <v>45946</v>
      </c>
      <c r="F180" s="42" t="str">
        <f>HYPERLINK("https://contrataciondelestado.es/wps/poc?uri=deeplink:detalle_licitacion&amp;idEvl=kiFEiEBmh8pWhbmkna2nXQ%3D%3D","Ver ficha publicada")</f>
        <v>Ver ficha publicada</v>
      </c>
    </row>
    <row r="181" spans="1:6" ht="28.95" customHeight="1" x14ac:dyDescent="0.3">
      <c r="A181" s="42" t="s">
        <v>290</v>
      </c>
      <c r="B181" s="42" t="str">
        <f>HYPERLINK("#'Contratos 2025'!A61","2025/PA/006 · Lote 6")</f>
        <v>2025/PA/006 · Lote 6</v>
      </c>
      <c r="C181" s="42" t="s">
        <v>289</v>
      </c>
      <c r="D181" s="44">
        <v>8011.56</v>
      </c>
      <c r="E181" s="42">
        <v>45946</v>
      </c>
      <c r="F181" s="42" t="str">
        <f>HYPERLINK("https://contrataciondelestado.es/wps/poc?uri=deeplink:detalle_licitacion&amp;idEvl=kiFEiEBmh8pWhbmkna2nXQ%3D%3D","Ver ficha publicada")</f>
        <v>Ver ficha publicada</v>
      </c>
    </row>
    <row r="182" spans="1:6" ht="28.95" customHeight="1" x14ac:dyDescent="0.3">
      <c r="A182" s="42" t="s">
        <v>304</v>
      </c>
      <c r="B182" s="42" t="str">
        <f>HYPERLINK("#'Contratos 2025'!A65","2025/PA/006-LOTE 11")</f>
        <v>2025/PA/006-LOTE 11</v>
      </c>
      <c r="C182" s="42" t="s">
        <v>303</v>
      </c>
      <c r="D182" s="44">
        <v>10014.44</v>
      </c>
      <c r="E182" s="42">
        <v>45950</v>
      </c>
      <c r="F182" s="42" t="str">
        <f>HYPERLINK("https://contrataciondelestado.es/wps/poc?uri=deeplink:detalle_licitacion&amp;idEvl=kiFEiEBmh8pWhbmkna2nXQ%3D%3D","Ver ficha publicada")</f>
        <v>Ver ficha publicada</v>
      </c>
    </row>
    <row r="183" spans="1:6" ht="43.2" customHeight="1" x14ac:dyDescent="0.3">
      <c r="A183" s="42" t="s">
        <v>880</v>
      </c>
      <c r="B183" s="42" t="str">
        <f>HYPERLINK("#'Contratos 2025'!A201","2024/PA/034 · Lote 1")</f>
        <v>2024/PA/034 · Lote 1</v>
      </c>
      <c r="C183" s="42" t="s">
        <v>835</v>
      </c>
      <c r="D183" s="44" t="s">
        <v>842</v>
      </c>
      <c r="E183" s="42" t="s">
        <v>843</v>
      </c>
      <c r="F183" s="42" t="str">
        <f>HYPERLINK("https://contrataciondelestado.es/wps/poc?uri=deeplink:detalle_licitacion&amp;idEvl=U%2FXKnY4zs0wZDGvgaZEVxQ%3D%3D","Ver ficha publicada")</f>
        <v>Ver ficha publicada</v>
      </c>
    </row>
    <row r="184" spans="1:6" ht="43.2" customHeight="1" x14ac:dyDescent="0.3">
      <c r="A184" s="42" t="s">
        <v>787</v>
      </c>
      <c r="B184" s="42" t="str">
        <f>HYPERLINK("#'Contratos 2025'!A187","2025/PASA/008 · Lote 2")</f>
        <v>2025/PASA/008 · Lote 2</v>
      </c>
      <c r="C184" s="42" t="s">
        <v>786</v>
      </c>
      <c r="D184" s="44">
        <v>729.96</v>
      </c>
      <c r="E184" s="42">
        <v>44521</v>
      </c>
      <c r="F184" s="42" t="str">
        <f>HYPERLINK("https://contrataciondelestado.es/wps/poc?uri=deeplink:detalle_licitacion&amp;idEvl=9ivwec%2FyqvBLAIVZdUs8KA%3D%3D","Ver ficha publicada")</f>
        <v>Ver ficha publicada</v>
      </c>
    </row>
    <row r="185" spans="1:6" ht="57.6" customHeight="1" x14ac:dyDescent="0.3">
      <c r="A185" s="42" t="s">
        <v>313</v>
      </c>
      <c r="B185" s="42" t="str">
        <f>HYPERLINK("#'Contratos 2025'!A68","2025/PA/007  · Lote 2")</f>
        <v>2025/PA/007  · Lote 2</v>
      </c>
      <c r="C185" s="42" t="s">
        <v>309</v>
      </c>
      <c r="D185" s="44">
        <v>18997</v>
      </c>
      <c r="E185" s="42">
        <v>45839</v>
      </c>
      <c r="F185" s="42" t="str">
        <f>HYPERLINK("#'Contratos 2025'!A68","Ver detalle")</f>
        <v>Ver detalle</v>
      </c>
    </row>
    <row r="186" spans="1:6" ht="43.2" customHeight="1" x14ac:dyDescent="0.3">
      <c r="A186" s="42" t="s">
        <v>762</v>
      </c>
      <c r="B186" s="42" t="str">
        <f>HYPERLINK("#'Contratos 2025'!A181","2025/PASA/012 · Lote 4")</f>
        <v>2025/PASA/012 · Lote 4</v>
      </c>
      <c r="C186" s="42" t="s">
        <v>761</v>
      </c>
      <c r="D186" s="44">
        <v>4801.16</v>
      </c>
      <c r="E186" s="42">
        <v>45995</v>
      </c>
      <c r="F186" s="42" t="str">
        <f>HYPERLINK("https://contrataciondelestado.es/wps/poc?uri=deeplink:detalle_licitacion&amp;idEvl=HPbzJfQcrPFq1DdmE7eaXg%3D%3D","Ver ficha publicada")</f>
        <v>Ver ficha publicada</v>
      </c>
    </row>
    <row r="187" spans="1:6" x14ac:dyDescent="0.3">
      <c r="A187" s="42" t="s">
        <v>737</v>
      </c>
      <c r="B187" s="42" t="str">
        <f>HYPERLINK("#'Contratos 2025'!A174","2025/PASA/006")</f>
        <v>2025/PASA/006</v>
      </c>
      <c r="C187" s="42" t="s">
        <v>736</v>
      </c>
      <c r="D187" s="44">
        <v>2289.41</v>
      </c>
      <c r="E187" s="42">
        <v>45904</v>
      </c>
      <c r="F187" s="42" t="str">
        <f>HYPERLINK("https://contrataciondelestado.es/wps/poc?uri=deeplink:detalle_licitacion&amp;idEvl=0kADpYJonDcUqXM96WStVA%3D%3D","Ver ficha publicada")</f>
        <v>Ver ficha publicada</v>
      </c>
    </row>
    <row r="188" spans="1:6" ht="28.95" customHeight="1" x14ac:dyDescent="0.3">
      <c r="A188" s="42" t="s">
        <v>640</v>
      </c>
      <c r="B188" s="42" t="str">
        <f>HYPERLINK("#'Contratos 2025'!A151","2024/PA/025  · Lote 5")</f>
        <v>2024/PA/025  · Lote 5</v>
      </c>
      <c r="C188" s="42" t="s">
        <v>639</v>
      </c>
      <c r="D188" s="44" t="s">
        <v>641</v>
      </c>
      <c r="E188" s="42" t="s">
        <v>203</v>
      </c>
      <c r="F188" s="42" t="str">
        <f>HYPERLINK("#'Contratos 2025'!A151","Ver detalle")</f>
        <v>Ver detalle</v>
      </c>
    </row>
    <row r="189" spans="1:6" ht="43.2" customHeight="1" x14ac:dyDescent="0.3">
      <c r="A189" s="42" t="s">
        <v>163</v>
      </c>
      <c r="B189" s="42" t="str">
        <f>HYPERLINK("#'Contratos 2025'!A30","2025/NSIN/004")</f>
        <v>2025/NSIN/004</v>
      </c>
      <c r="C189" s="42" t="s">
        <v>151</v>
      </c>
      <c r="D189" s="44">
        <v>24079</v>
      </c>
      <c r="E189" s="42">
        <v>45849</v>
      </c>
      <c r="F189" s="42" t="str">
        <f>HYPERLINK("https://contrataciondelestado.es/wps/poc?uri=deeplink:detalle_licitacion&amp;idEvl=eWIokB8DvshVYjgxA4nMUw%3D%3D","Ver ficha publicada")</f>
        <v>Ver ficha publicada</v>
      </c>
    </row>
    <row r="190" spans="1:6" ht="57.6" customHeight="1" x14ac:dyDescent="0.3">
      <c r="A190" s="42"/>
      <c r="B190" s="42" t="str">
        <f>HYPERLINK("#'Contratos 2025'!A33","2025/NSIN/007")</f>
        <v>2025/NSIN/007</v>
      </c>
      <c r="C190" s="42" t="s">
        <v>162</v>
      </c>
      <c r="D190" s="44">
        <v>79739</v>
      </c>
      <c r="E190" s="42">
        <v>45883</v>
      </c>
      <c r="F190" s="42" t="str">
        <f>HYPERLINK("#'Contratos 2025'!A33","Ver detalle")</f>
        <v>Ver detalle</v>
      </c>
    </row>
    <row r="191" spans="1:6" ht="43.2" customHeight="1" x14ac:dyDescent="0.3">
      <c r="A191" s="42" t="s">
        <v>756</v>
      </c>
      <c r="B191" s="42" t="str">
        <f>HYPERLINK("#'Contratos 2025'!A179","2025/PASA/012 · Lote 2")</f>
        <v>2025/PASA/012 · Lote 2</v>
      </c>
      <c r="C191" s="42" t="s">
        <v>755</v>
      </c>
      <c r="D191" s="44">
        <v>23833.64</v>
      </c>
      <c r="E191" s="42">
        <v>45995</v>
      </c>
      <c r="F191" s="42" t="str">
        <f>HYPERLINK("https://contrataciondelestado.es/wps/poc?uri=deeplink:detalle_licitacion&amp;idEvl=HPbzJfQcrPFq1DdmE7eaXg%3D%3D","Ver ficha publicada")</f>
        <v>Ver ficha publicada</v>
      </c>
    </row>
    <row r="192" spans="1:6" x14ac:dyDescent="0.3">
      <c r="A192" s="42" t="s">
        <v>741</v>
      </c>
      <c r="B192" s="42" t="str">
        <f>HYPERLINK("#'Contratos 2025'!A175","2025/PASA/007")</f>
        <v>2025/PASA/007</v>
      </c>
      <c r="C192" s="42" t="s">
        <v>740</v>
      </c>
      <c r="D192" s="44">
        <v>7553.7</v>
      </c>
      <c r="E192" s="42">
        <v>45870</v>
      </c>
      <c r="F192" s="42" t="str">
        <f>HYPERLINK("https://contrataciondelestado.es/wps/poc?uri=deeplink:detalle_licitacion&amp;idEvl=0Lvwnhpy1WqP%2Bo96UAV7cQ%3D%3D","Ver ficha publicada")</f>
        <v>Ver ficha publicada</v>
      </c>
    </row>
    <row r="193" spans="1:6" x14ac:dyDescent="0.3">
      <c r="A193" s="42" t="s">
        <v>807</v>
      </c>
      <c r="B193" s="42" t="str">
        <f>HYPERLINK("#'Contratos 2025'!A192","2025/NSIN/015")</f>
        <v>2025/NSIN/015</v>
      </c>
      <c r="C193" s="42" t="s">
        <v>806</v>
      </c>
      <c r="D193" s="44">
        <v>60669.4</v>
      </c>
      <c r="E193" s="42">
        <v>46003</v>
      </c>
      <c r="F193" s="42" t="str">
        <f>HYPERLINK("https://contrataciondelestado.es/wps/poc?uri=deeplink:detalle_licitacion&amp;idEvl=L3SmErgbkQhLAIVZdUs8KA%3D%3D","Ver ficha publicada")</f>
        <v>Ver ficha publicada</v>
      </c>
    </row>
    <row r="194" spans="1:6" ht="28.95" customHeight="1" x14ac:dyDescent="0.3">
      <c r="A194" s="42" t="s">
        <v>778</v>
      </c>
      <c r="B194" s="42" t="str">
        <f>HYPERLINK("#'Contratos 2025'!A185","2025/PASA/021")</f>
        <v>2025/PASA/021</v>
      </c>
      <c r="C194" s="42" t="s">
        <v>777</v>
      </c>
      <c r="D194" s="44">
        <v>61019.09</v>
      </c>
      <c r="E194" s="42">
        <v>45995</v>
      </c>
      <c r="F194" s="42" t="str">
        <f>HYPERLINK("https://contrataciondelestado.es/wps/poc?uri=deeplink:detalle_licitacion&amp;idEvl=Wv21hfIPljw3vLk2DU2Ddg%3D%3D","Ver ficha publicada")</f>
        <v>Ver ficha publicada</v>
      </c>
    </row>
    <row r="195" spans="1:6" ht="43.2" customHeight="1" x14ac:dyDescent="0.3">
      <c r="A195" s="42" t="s">
        <v>855</v>
      </c>
      <c r="B195" s="42" t="str">
        <f>HYPERLINK("#'Contratos 2025'!A205","2024/PA/034 · Lotes 4 Y 5")</f>
        <v>2024/PA/034 · Lotes 4 Y 5</v>
      </c>
      <c r="C195" s="42" t="s">
        <v>835</v>
      </c>
      <c r="D195" s="44" t="s">
        <v>856</v>
      </c>
      <c r="E195" s="42" t="s">
        <v>467</v>
      </c>
      <c r="F195" s="42" t="str">
        <f>HYPERLINK("https://contrataciondelestado.es/wps/poc?uri=deeplink:detalle_licitacion&amp;idEvl=U%2FXKnY4zs0wZDGvgaZEVxQ%3D%3D","Ver ficha publicada")</f>
        <v>Ver ficha publicada</v>
      </c>
    </row>
    <row r="196" spans="1:6" ht="28.95" customHeight="1" x14ac:dyDescent="0.3">
      <c r="A196" s="42" t="s">
        <v>83</v>
      </c>
      <c r="B196" s="42" t="str">
        <f>HYPERLINK("#'Contratos 2025'!A15","2025/PAS/007")</f>
        <v>2025/PAS/007</v>
      </c>
      <c r="C196" s="42" t="s">
        <v>82</v>
      </c>
      <c r="D196" s="44">
        <v>455780.19</v>
      </c>
      <c r="E196" s="42">
        <v>45860</v>
      </c>
      <c r="F196" s="42" t="str">
        <f>HYPERLINK("https://contrataciondelestado.es/wps/poc?uri=deeplink:detalle_licitacion&amp;idEvl=RKVqRnM0HCeKeVWTb9Scog%3D%3D","Ver ficha publicada")</f>
        <v>Ver ficha publicada</v>
      </c>
    </row>
    <row r="197" spans="1:6" ht="28.95" customHeight="1" x14ac:dyDescent="0.3">
      <c r="A197" s="42" t="s">
        <v>800</v>
      </c>
      <c r="B197" s="42" t="str">
        <f>HYPERLINK("#'Contratos 2025'!A190","2025/CB/055")</f>
        <v>2025/CB/055</v>
      </c>
      <c r="C197" s="42" t="s">
        <v>799</v>
      </c>
      <c r="D197" s="44">
        <v>3958.35</v>
      </c>
      <c r="E197" s="42">
        <v>45975</v>
      </c>
      <c r="F197" s="42" t="str">
        <f>HYPERLINK("https://contrataciondelestado.es/wps/poc?uri=deeplink:detalle_licitacion&amp;idEvl=8O2QUvpKCxUS7pcxhTeWOg%3D%3D","Ver ficha publicada")</f>
        <v>Ver ficha publicada</v>
      </c>
    </row>
    <row r="198" spans="1:6" ht="28.95" customHeight="1" x14ac:dyDescent="0.3">
      <c r="A198" s="42"/>
      <c r="B198" s="42" t="str">
        <f>HYPERLINK("#'Contratos 2025'!A191","2025/CB/056")</f>
        <v>2025/CB/056</v>
      </c>
      <c r="C198" s="42" t="s">
        <v>803</v>
      </c>
      <c r="D198" s="44">
        <v>39716.949999999997</v>
      </c>
      <c r="E198" s="42">
        <v>46010</v>
      </c>
      <c r="F198" s="42" t="str">
        <f>HYPERLINK("https://contrataciondelestado.es/wps/poc?uri=deeplink:detalle_licitacion&amp;idEvl=QgtsynK7uS1q1DdmE7eaXg%3D%3D","Ver ficha publicada")</f>
        <v>Ver ficha publicada</v>
      </c>
    </row>
    <row r="199" spans="1:6" ht="72" customHeight="1" x14ac:dyDescent="0.3">
      <c r="A199" s="42" t="s">
        <v>351</v>
      </c>
      <c r="B199" s="42" t="str">
        <f>HYPERLINK("#'Contratos 2025'!A79","2025/PA/017")</f>
        <v>2025/PA/017</v>
      </c>
      <c r="C199" s="42" t="s">
        <v>350</v>
      </c>
      <c r="D199" s="44">
        <v>81130</v>
      </c>
      <c r="E199" s="42">
        <v>45929</v>
      </c>
      <c r="F199" s="42" t="str">
        <f>HYPERLINK("https://contrataciondelestado.es/wps/poc?uri=deeplink:detalle_licitacion&amp;idEvl=NBaY71MaqAyTylGzYmBF9Q%3D%3D","Ver ficha publicada")</f>
        <v>Ver ficha publicada</v>
      </c>
    </row>
    <row r="200" spans="1:6" ht="28.95" customHeight="1" x14ac:dyDescent="0.3">
      <c r="A200" s="42" t="s">
        <v>381</v>
      </c>
      <c r="B200" s="42" t="str">
        <f>HYPERLINK("#'Contratos 2025'!A87","2025/PA/032 · Lote 2")</f>
        <v>2025/PA/032 · Lote 2</v>
      </c>
      <c r="C200" s="42" t="s">
        <v>380</v>
      </c>
      <c r="D200" s="44">
        <v>21780</v>
      </c>
      <c r="E200" s="42">
        <v>46010</v>
      </c>
      <c r="F200" s="42" t="str">
        <f>HYPERLINK("https://contrataciondelestado.es/wps/poc?uri=deeplink:detalle_licitacion&amp;idEvl=a5bCiSgiKgD10HRJw8TEnQ%3D%3D","Ver ficha publicada")</f>
        <v>Ver ficha publicada</v>
      </c>
    </row>
    <row r="201" spans="1:6" ht="28.95" customHeight="1" x14ac:dyDescent="0.3">
      <c r="A201" s="42" t="s">
        <v>318</v>
      </c>
      <c r="B201" s="42" t="str">
        <f>HYPERLINK("#'Contratos 2025'!A70","2025/PA/009")</f>
        <v>2025/PA/009</v>
      </c>
      <c r="C201" s="42" t="s">
        <v>317</v>
      </c>
      <c r="D201" s="44">
        <v>152027.76</v>
      </c>
      <c r="E201" s="42">
        <v>45925</v>
      </c>
      <c r="F201" s="42" t="str">
        <f>HYPERLINK("https://contrataciondelestado.es/wps/poc?uri=deeplink:detalle_licitacion&amp;idEvl=%2FNywyz0CLoUUqXM96WStVA%3D%3D","Ver ficha publicada")</f>
        <v>Ver ficha publicada</v>
      </c>
    </row>
    <row r="202" spans="1:6" ht="28.95" customHeight="1" x14ac:dyDescent="0.3">
      <c r="A202" s="42" t="s">
        <v>517</v>
      </c>
      <c r="B202" s="42" t="str">
        <f>HYPERLINK("#'Contratos 2025'!A117","2025/CB/016")</f>
        <v>2025/CB/016</v>
      </c>
      <c r="C202" s="42" t="s">
        <v>516</v>
      </c>
      <c r="D202" s="44">
        <v>34762.089999999997</v>
      </c>
      <c r="E202" s="42">
        <v>45915</v>
      </c>
      <c r="F202" s="42" t="str">
        <f>HYPERLINK("https://contrataciondelestado.es/wps/poc?uri=deeplink:detalle_licitacion&amp;idEvl=npDBN9HK5qAXhk1FZxEyvw%3D%3D","Ver ficha publicada")</f>
        <v>Ver ficha publicada</v>
      </c>
    </row>
    <row r="203" spans="1:6" ht="28.95" customHeight="1" x14ac:dyDescent="0.3">
      <c r="A203" s="42" t="s">
        <v>498</v>
      </c>
      <c r="B203" s="42" t="str">
        <f>HYPERLINK("#'Contratos 2025'!A103","2024/CB/024")</f>
        <v>2024/CB/024</v>
      </c>
      <c r="C203" s="42" t="s">
        <v>448</v>
      </c>
      <c r="D203" s="44" t="s">
        <v>450</v>
      </c>
      <c r="E203" s="42" t="s">
        <v>42</v>
      </c>
      <c r="F203" s="42" t="str">
        <f>HYPERLINK("https://contrataciondelestado.es/wps/poc?uri=deeplink:detalle_licitacion&amp;idEvl=oxSPlWh%2FlmSKeVWTb9Scog%3D%3D","Ver ficha publicada")</f>
        <v>Ver ficha publicada</v>
      </c>
    </row>
    <row r="204" spans="1:6" ht="28.95" customHeight="1" x14ac:dyDescent="0.3">
      <c r="A204" s="42"/>
      <c r="B204" s="42" t="str">
        <f>HYPERLINK("#'Contratos 2025'!A105","2025/CB/002")</f>
        <v>2025/CB/002</v>
      </c>
      <c r="C204" s="42" t="s">
        <v>458</v>
      </c>
      <c r="D204" s="44" t="s">
        <v>460</v>
      </c>
      <c r="E204" s="42" t="s">
        <v>461</v>
      </c>
      <c r="F204" s="42" t="str">
        <f>HYPERLINK("https://contrataciondelestado.es/wps/poc?uri=deeplink:detalle_licitacion&amp;idEvl=ZnBawoZ%2F0CKFQ%2FlhRK79lA%3D%3D","Ver ficha publicada")</f>
        <v>Ver ficha publicada</v>
      </c>
    </row>
    <row r="205" spans="1:6" ht="28.95" customHeight="1" x14ac:dyDescent="0.3">
      <c r="A205" s="42"/>
      <c r="B205" s="42" t="str">
        <f>HYPERLINK("#'Contratos 2025'!A113","2025/CB/010")</f>
        <v>2025/CB/010</v>
      </c>
      <c r="C205" s="42" t="s">
        <v>497</v>
      </c>
      <c r="D205" s="44" t="s">
        <v>499</v>
      </c>
      <c r="E205" s="42" t="s">
        <v>500</v>
      </c>
      <c r="F205" s="42" t="str">
        <f>HYPERLINK("https://contrataciondelestado.es/wps/poc?uri=deeplink:detalle_licitacion&amp;idEvl=XwUMIuZTtQCOUi78BmzhOQ%3D%3D","Ver ficha publicada")</f>
        <v>Ver ficha publicada</v>
      </c>
    </row>
    <row r="206" spans="1:6" ht="43.2" customHeight="1" x14ac:dyDescent="0.3">
      <c r="A206" s="42"/>
      <c r="B206" s="42" t="str">
        <f>HYPERLINK("#'Contratos 2025'!A114","2025/CB/011")</f>
        <v>2025/CB/011</v>
      </c>
      <c r="C206" s="42" t="s">
        <v>503</v>
      </c>
      <c r="D206" s="44" t="s">
        <v>504</v>
      </c>
      <c r="E206" s="42" t="s">
        <v>467</v>
      </c>
      <c r="F206" s="42" t="str">
        <f>HYPERLINK("https://contrataciondelestado.es/wps/poc?uri=deeplink:detalle_licitacion&amp;idEvl=TDlZkHOl6VdeKgd8LfVV9g%3D%3D","Ver ficha publicada")</f>
        <v>Ver ficha publicada</v>
      </c>
    </row>
    <row r="207" spans="1:6" x14ac:dyDescent="0.3">
      <c r="A207" s="42"/>
      <c r="B207" s="42" t="str">
        <f>HYPERLINK("#'Contratos 2025'!A119","2025/CB/018")</f>
        <v>2025/CB/018</v>
      </c>
      <c r="C207" s="42" t="s">
        <v>524</v>
      </c>
      <c r="D207" s="44" t="s">
        <v>525</v>
      </c>
      <c r="E207" s="42" t="s">
        <v>526</v>
      </c>
      <c r="F207" s="42" t="str">
        <f>HYPERLINK("https://contrataciondelestado.es/wps/poc?uri=deeplink:detalle_licitacion&amp;idEvl=utSw8Mmt%2Fw%2BFlFRHfEzEaw%3D%3D","Ver ficha publicada")</f>
        <v>Ver ficha publicada</v>
      </c>
    </row>
    <row r="208" spans="1:6" ht="43.2" customHeight="1" x14ac:dyDescent="0.3">
      <c r="A208" s="42"/>
      <c r="B208" s="42" t="str">
        <f>HYPERLINK("#'Contratos 2025'!A120","2025/CB/019")</f>
        <v>2025/CB/019</v>
      </c>
      <c r="C208" s="42" t="s">
        <v>529</v>
      </c>
      <c r="D208" s="44">
        <v>128503.65</v>
      </c>
      <c r="E208" s="42">
        <v>45855</v>
      </c>
      <c r="F208" s="42" t="str">
        <f>HYPERLINK("https://contrataciondelestado.es/wps/poc?uri=deeplink:detalle_licitacion&amp;idEvl=5yzwleUTCtH5Rey58Yagpg%3D%3D","Ver ficha publicada")</f>
        <v>Ver ficha publicada</v>
      </c>
    </row>
    <row r="209" spans="1:6" ht="28.95" customHeight="1" x14ac:dyDescent="0.3">
      <c r="A209" s="42"/>
      <c r="B209" s="42" t="str">
        <f>HYPERLINK("#'Contratos 2025'!A121","2025/CB/020")</f>
        <v>2025/CB/020</v>
      </c>
      <c r="C209" s="42" t="s">
        <v>532</v>
      </c>
      <c r="D209" s="44" t="s">
        <v>533</v>
      </c>
      <c r="E209" s="42" t="s">
        <v>461</v>
      </c>
      <c r="F209" s="42" t="str">
        <f>HYPERLINK("https://contrataciondelestado.es/wps/poc?uri=deeplink:detalle_licitacion&amp;idEvl=jwMzjQ4lCiQeIBJRHQiPkQ%3D%3D","Ver ficha publicada")</f>
        <v>Ver ficha publicada</v>
      </c>
    </row>
    <row r="210" spans="1:6" ht="28.95" customHeight="1" x14ac:dyDescent="0.3">
      <c r="A210" s="42"/>
      <c r="B210" s="42" t="str">
        <f>HYPERLINK("#'Contratos 2025'!A129","2025/CB/029")</f>
        <v>2025/CB/029</v>
      </c>
      <c r="C210" s="42" t="s">
        <v>561</v>
      </c>
      <c r="D210" s="44">
        <v>51723.69</v>
      </c>
      <c r="E210" s="42">
        <v>45856</v>
      </c>
      <c r="F210" s="42" t="str">
        <f>HYPERLINK("https://contrataciondelestado.es/wps/poc?uri=deeplink:detalle_licitacion&amp;idEvl=IqmYkFNsSqaHCIsjvJ3rhQ%3D%3D","Ver ficha publicada")</f>
        <v>Ver ficha publicada</v>
      </c>
    </row>
    <row r="211" spans="1:6" ht="28.95" customHeight="1" x14ac:dyDescent="0.3">
      <c r="A211" s="42"/>
      <c r="B211" s="42" t="str">
        <f>HYPERLINK("#'Contratos 2025'!A132","2025/CB/032")</f>
        <v>2025/CB/032</v>
      </c>
      <c r="C211" s="42" t="s">
        <v>570</v>
      </c>
      <c r="D211" s="44">
        <v>10320.1</v>
      </c>
      <c r="E211" s="42">
        <v>45915</v>
      </c>
      <c r="F211" s="42" t="str">
        <f>HYPERLINK("https://contrataciondelestado.es/wps/poc?uri=deeplink:detalle_licitacion&amp;idEvl=C1bFlFAyqH9%2FR5QFTlaM4A%3D%3D","Ver ficha publicada")</f>
        <v>Ver ficha publicada</v>
      </c>
    </row>
    <row r="212" spans="1:6" ht="28.95" customHeight="1" x14ac:dyDescent="0.3">
      <c r="A212" s="42"/>
      <c r="B212" s="42" t="str">
        <f>HYPERLINK("#'Contratos 2025'!A133","2025/CB/033")</f>
        <v>2025/CB/033</v>
      </c>
      <c r="C212" s="42" t="s">
        <v>573</v>
      </c>
      <c r="D212" s="44">
        <v>6736.97</v>
      </c>
      <c r="E212" s="42">
        <v>45856</v>
      </c>
      <c r="F212" s="42" t="str">
        <f>HYPERLINK("https://contrataciondelestado.es/wps/poc?uri=deeplink:detalle_licitacion&amp;idEvl=inyqxcwU8si8ebB%2FXTwy0A%3D%3D","Ver ficha publicada")</f>
        <v>Ver ficha publicada</v>
      </c>
    </row>
    <row r="213" spans="1:6" ht="28.95" customHeight="1" x14ac:dyDescent="0.3">
      <c r="A213" s="42"/>
      <c r="B213" s="42" t="str">
        <f>HYPERLINK("#'Contratos 2025'!A134","2025/CB/034")</f>
        <v>2025/CB/034</v>
      </c>
      <c r="C213" s="42" t="s">
        <v>576</v>
      </c>
      <c r="D213" s="44">
        <v>4344.67</v>
      </c>
      <c r="E213" s="42">
        <v>45856</v>
      </c>
      <c r="F213" s="42" t="str">
        <f>HYPERLINK("https://contrataciondelestado.es/wps/poc?uri=deeplink:detalle_licitacion&amp;idEvl=vcxA3Ae55O0kJPJS%2BPS9vg%3D%3D","Ver ficha publicada")</f>
        <v>Ver ficha publicada</v>
      </c>
    </row>
    <row r="214" spans="1:6" ht="43.2" customHeight="1" x14ac:dyDescent="0.3">
      <c r="A214" s="42"/>
      <c r="B214" s="42" t="str">
        <f>HYPERLINK("#'Contratos 2025'!A138","2025/CB/038")</f>
        <v>2025/CB/038</v>
      </c>
      <c r="C214" s="42" t="s">
        <v>590</v>
      </c>
      <c r="D214" s="44">
        <v>27334.49</v>
      </c>
      <c r="E214" s="42">
        <v>45883</v>
      </c>
      <c r="F214" s="42" t="str">
        <f>HYPERLINK("https://contrataciondelestado.es/wps/poc?uri=deeplink:detalle_licitacion&amp;idEvl=akKUBVOAsJeTylGzYmBF9Q%3D%3D","Ver ficha publicada")</f>
        <v>Ver ficha publicada</v>
      </c>
    </row>
    <row r="215" spans="1:6" ht="43.2" customHeight="1" x14ac:dyDescent="0.3">
      <c r="A215" s="42"/>
      <c r="B215" s="42" t="str">
        <f>HYPERLINK("#'Contratos 2025'!A140","2025/CB/040")</f>
        <v>2025/CB/040</v>
      </c>
      <c r="C215" s="42" t="s">
        <v>596</v>
      </c>
      <c r="D215" s="44">
        <v>3371.45</v>
      </c>
      <c r="E215" s="42">
        <v>45856</v>
      </c>
      <c r="F215" s="42" t="str">
        <f>HYPERLINK("https://contrataciondelestado.es/wps/poc?uri=deeplink:detalle_licitacion&amp;idEvl=9fujUpV%2B%2BMc%2B1TMyIiZmzw%3D%3D","Ver ficha publicada")</f>
        <v>Ver ficha publicada</v>
      </c>
    </row>
    <row r="216" spans="1:6" ht="43.2" customHeight="1" x14ac:dyDescent="0.3">
      <c r="A216" s="42"/>
      <c r="B216" s="42" t="str">
        <f>HYPERLINK("#'Contratos 2025'!A142","2025/CB/042")</f>
        <v>2025/CB/042</v>
      </c>
      <c r="C216" s="42" t="s">
        <v>603</v>
      </c>
      <c r="D216" s="44">
        <v>1950.48</v>
      </c>
      <c r="E216" s="42">
        <v>45931</v>
      </c>
      <c r="F216" s="42" t="str">
        <f>HYPERLINK("https://contrataciondelestado.es/wps/poc?uri=deeplink:detalle_licitacion&amp;idEvl=MjCd4cHXC5Ozz8fXU2i3eQ%3D%3D","Ver ficha publicada")</f>
        <v>Ver ficha publicada</v>
      </c>
    </row>
    <row r="217" spans="1:6" ht="43.2" customHeight="1" x14ac:dyDescent="0.3">
      <c r="A217" s="42"/>
      <c r="B217" s="42" t="str">
        <f>HYPERLINK("#'Contratos 2025'!A144","2025/CB/044")</f>
        <v>2025/CB/044</v>
      </c>
      <c r="C217" s="42" t="s">
        <v>610</v>
      </c>
      <c r="D217" s="44">
        <v>2502.4899999999998</v>
      </c>
      <c r="E217" s="42">
        <v>45950</v>
      </c>
      <c r="F217" s="42" t="str">
        <f>HYPERLINK("https://contrataciondelestado.es/wps/poc?uri=deeplink:detalle_licitacion&amp;idEvl=6KA%2FTheJUZAmMOlAXxDEjw%3D%3D","Ver ficha publicada")</f>
        <v>Ver ficha publicada</v>
      </c>
    </row>
    <row r="218" spans="1:6" ht="43.2" customHeight="1" x14ac:dyDescent="0.3">
      <c r="A218" s="42" t="s">
        <v>621</v>
      </c>
      <c r="B218" s="42" t="str">
        <f>HYPERLINK("#'Contratos 2025'!A147","2024//NSIN/012")</f>
        <v>2024//NSIN/012</v>
      </c>
      <c r="C218" s="42" t="s">
        <v>620</v>
      </c>
      <c r="D218" s="44">
        <v>870779.21</v>
      </c>
      <c r="E218" s="42">
        <v>45831</v>
      </c>
      <c r="F218" s="42" t="str">
        <f>HYPERLINK("#'Contratos 2025'!A147","Ver detalle")</f>
        <v>Ver detalle</v>
      </c>
    </row>
    <row r="219" spans="1:6" x14ac:dyDescent="0.3">
      <c r="A219" s="42" t="s">
        <v>75</v>
      </c>
      <c r="B219" s="42" t="str">
        <f>HYPERLINK("#'Contratos 2025'!A12","2025/PAS/002")</f>
        <v>2025/PAS/002</v>
      </c>
      <c r="C219" s="42" t="s">
        <v>70</v>
      </c>
      <c r="D219" s="44">
        <v>108916.55</v>
      </c>
      <c r="E219" s="42">
        <v>45853</v>
      </c>
      <c r="F219" s="42" t="str">
        <f>HYPERLINK("https://contrataciondelestado.es/wps/poc?uri=deeplink:detalle_licitacion&amp;idEvl=XbOH4Z1uUT5xseVhcqrkhw%3D%3D","Ver ficha publicada")</f>
        <v>Ver ficha publicada</v>
      </c>
    </row>
    <row r="220" spans="1:6" ht="28.95" customHeight="1" x14ac:dyDescent="0.3">
      <c r="A220" s="42"/>
      <c r="B220" s="42" t="str">
        <f>HYPERLINK("#'Contratos 2025'!A13","2025/PAS/003")</f>
        <v>2025/PAS/003</v>
      </c>
      <c r="C220" s="42" t="s">
        <v>74</v>
      </c>
      <c r="D220" s="44">
        <v>137857.89000000001</v>
      </c>
      <c r="E220" s="42">
        <v>45855</v>
      </c>
      <c r="F220" s="42" t="str">
        <f>HYPERLINK("https://contrataciondelestado.es/wps/poc?uri=deeplink:detalle_licitacion&amp;idEvl=tB13ZEOdPEmIzo3LHNPGcQ%3D%3D","Ver ficha publicada")</f>
        <v>Ver ficha publicada</v>
      </c>
    </row>
    <row r="221" spans="1:6" ht="28.95" customHeight="1" x14ac:dyDescent="0.3">
      <c r="A221" s="42"/>
      <c r="B221" s="42" t="str">
        <f>HYPERLINK("#'Contratos 2025'!A85","2025/PA/031")</f>
        <v>2025/PA/031</v>
      </c>
      <c r="C221" s="42" t="s">
        <v>373</v>
      </c>
      <c r="D221" s="44">
        <v>1077056.3400000001</v>
      </c>
      <c r="E221" s="42">
        <v>46007</v>
      </c>
      <c r="F221" s="42" t="str">
        <f>HYPERLINK("https://contrataciondelestado.es/wps/poc?uri=deeplink:detalle_licitacion&amp;idEvl=01JRpYKCkf7N3k3tjedSGw%3D%3D","Ver ficha publicada")</f>
        <v>Ver ficha publicada</v>
      </c>
    </row>
    <row r="222" spans="1:6" x14ac:dyDescent="0.3">
      <c r="A222" s="42" t="s">
        <v>893</v>
      </c>
      <c r="B222" s="42" t="str">
        <f>HYPERLINK("#'Contratos 2025'!A183","2025/PASA/016")</f>
        <v>2025/PASA/016</v>
      </c>
      <c r="C222" s="42" t="s">
        <v>769</v>
      </c>
      <c r="D222" s="44">
        <v>14593.42</v>
      </c>
      <c r="E222" s="42">
        <v>46007</v>
      </c>
      <c r="F222" s="42" t="str">
        <f>HYPERLINK("https://contrataciondelestado.es/wps/poc?uri=deeplink:detalle_licitacion&amp;idEvl=WRPnyA69FqOP66GS%2BONYvQ%3D%3D","Ver ficha publicada")</f>
        <v>Ver ficha publicada</v>
      </c>
    </row>
    <row r="223" spans="1:6" ht="43.2" customHeight="1" x14ac:dyDescent="0.3">
      <c r="A223" s="42" t="s">
        <v>403</v>
      </c>
      <c r="B223" s="42" t="str">
        <f>HYPERLINK("#'Contratos 2025'!A92","2025/PAS/016")</f>
        <v>2025/PAS/016</v>
      </c>
      <c r="C223" s="42" t="s">
        <v>402</v>
      </c>
      <c r="D223" s="44">
        <v>24436</v>
      </c>
      <c r="E223" s="42">
        <v>45996</v>
      </c>
      <c r="F223" s="42" t="str">
        <f>HYPERLINK("https://contrataciondelestado.es/wps/poc?uri=deeplink:detalle_licitacion&amp;idEvl=1SgZ8H%2FAshDECtSnloz%2BZQ%3D%3D","Ver ficha publicada")</f>
        <v>Ver ficha publicada</v>
      </c>
    </row>
    <row r="224" spans="1:6" ht="43.2" customHeight="1" x14ac:dyDescent="0.3">
      <c r="A224" s="42" t="s">
        <v>388</v>
      </c>
      <c r="B224" s="42" t="str">
        <f>HYPERLINK("#'Contratos 2025'!A89","2024/PAS/005 · Lote 3")</f>
        <v>2024/PAS/005 · Lote 3</v>
      </c>
      <c r="C224" s="42" t="s">
        <v>386</v>
      </c>
      <c r="D224" s="44" t="s">
        <v>389</v>
      </c>
      <c r="E224" s="42" t="s">
        <v>390</v>
      </c>
      <c r="F224" s="42" t="str">
        <f>HYPERLINK("https://contrataciondelestado.es/wps/poc?uri=deeplink:detalle_licitacion&amp;idEvl=%2F1%2FO73WvsBAtm4eBPtV6eQ%3D%3D","Ver ficha publicada")</f>
        <v>Ver ficha publicada</v>
      </c>
    </row>
    <row r="225" spans="1:6" ht="28.95" customHeight="1" x14ac:dyDescent="0.3">
      <c r="A225" s="42" t="s">
        <v>436</v>
      </c>
      <c r="B225" s="42" t="str">
        <f>HYPERLINK("#'Contratos 2025'!A99","2025/PASA/015")</f>
        <v>2025/PASA/015</v>
      </c>
      <c r="C225" s="42" t="s">
        <v>960</v>
      </c>
      <c r="D225" s="44">
        <v>19599.580000000002</v>
      </c>
      <c r="E225" s="42">
        <v>45931</v>
      </c>
      <c r="F225" s="42" t="str">
        <f>HYPERLINK("https://contrataciondelestado.es/wps/poc?uri=deeplink:detalle_licitacion&amp;idEvl=JXh0P4kPvUGqb7rCcv76BA%3D%3D","Ver ficha publicada")</f>
        <v>Ver ficha publicada</v>
      </c>
    </row>
    <row r="226" spans="1:6" ht="28.95" customHeight="1" x14ac:dyDescent="0.3">
      <c r="A226" s="42" t="s">
        <v>670</v>
      </c>
      <c r="B226" s="42" t="str">
        <f>HYPERLINK("#'Contratos 2025'!A157","2025/PA/004")</f>
        <v>2025/PA/004</v>
      </c>
      <c r="C226" s="42" t="s">
        <v>669</v>
      </c>
      <c r="D226" s="44">
        <v>316313.65999999997</v>
      </c>
      <c r="E226" s="42">
        <v>45864</v>
      </c>
      <c r="F226" s="42" t="str">
        <f>HYPERLINK("https://contrataciondelestado.es/wps/poc?uri=deeplink:detalle_licitacion&amp;idEvl=YGjAEPXIyYfpxJFXpLZ%2B2A%3D%3D","Ver ficha publicada")</f>
        <v>Ver ficha publicada</v>
      </c>
    </row>
    <row r="227" spans="1:6" ht="57.6" customHeight="1" x14ac:dyDescent="0.3">
      <c r="A227" s="42" t="s">
        <v>424</v>
      </c>
      <c r="B227" s="42" t="str">
        <f>HYPERLINK("#'Contratos 2025'!A96","2025/PASA/004 · Lote 2")</f>
        <v>2025/PASA/004 · Lote 2</v>
      </c>
      <c r="C227" s="42" t="s">
        <v>423</v>
      </c>
      <c r="D227" s="44" t="s">
        <v>425</v>
      </c>
      <c r="E227" s="42" t="s">
        <v>420</v>
      </c>
      <c r="F227" s="42" t="str">
        <f>HYPERLINK("https://contrataciondelestado.es/wps/poc?uri=deeplink:detalle_licitacion&amp;idEvl=hlaslNpINo3yoM4us5k4vw%3D%3D","Ver ficha publicada")</f>
        <v>Ver ficha publicada</v>
      </c>
    </row>
    <row r="228" spans="1:6" x14ac:dyDescent="0.3">
      <c r="A228" s="42" t="s">
        <v>201</v>
      </c>
      <c r="B228" s="42" t="str">
        <f>HYPERLINK("#'Contratos 2025'!A43","2024/PA/005")</f>
        <v>2024/PA/005</v>
      </c>
      <c r="C228" s="42" t="s">
        <v>198</v>
      </c>
      <c r="D228" s="44" t="s">
        <v>202</v>
      </c>
      <c r="E228" s="42" t="s">
        <v>203</v>
      </c>
      <c r="F228" s="42" t="str">
        <f>HYPERLINK("https://contrataciondelestado.es/wps/poc?uri=deeplink:detalle_licitacion&amp;idEvl=fgwCA18iDkYl5NjlNci%2BtA%3D%3D","Ver ficha publicada")</f>
        <v>Ver ficha publicada</v>
      </c>
    </row>
    <row r="229" spans="1:6" ht="43.2" customHeight="1" x14ac:dyDescent="0.3">
      <c r="A229" s="42" t="s">
        <v>728</v>
      </c>
      <c r="B229" s="42" t="str">
        <f>HYPERLINK("#'Contratos 2025'!A172","2025/PAS/024 · Lote 2")</f>
        <v>2025/PAS/024 · Lote 2</v>
      </c>
      <c r="C229" s="42" t="s">
        <v>727</v>
      </c>
      <c r="D229" s="44">
        <v>89526.69</v>
      </c>
      <c r="E229" s="42">
        <v>45996</v>
      </c>
      <c r="F229" s="42" t="str">
        <f>HYPERLINK("https://contrataciondelestado.es/wps/poc?uri=deeplink:detalle_licitacion&amp;idEvl=Dmb2KBgWdRt4zIRvjBVCSw%3D%3D","Ver ficha publicada")</f>
        <v>Ver ficha publicada</v>
      </c>
    </row>
    <row r="230" spans="1:6" ht="57.6" customHeight="1" x14ac:dyDescent="0.3">
      <c r="A230" s="42" t="s">
        <v>359</v>
      </c>
      <c r="B230" s="42" t="str">
        <f>HYPERLINK("#'Contratos 2025'!A81","2025/PA/022 · Lote 1")</f>
        <v>2025/PA/022 · Lote 1</v>
      </c>
      <c r="C230" s="42" t="s">
        <v>961</v>
      </c>
      <c r="D230" s="44">
        <v>14570.34</v>
      </c>
      <c r="E230" s="42">
        <v>46008</v>
      </c>
      <c r="F230" s="42" t="str">
        <f>HYPERLINK("https://contrataciondelestado.es/wps/poc?uri=deeplink:detalle_licitacion&amp;idEvl=PQ3bqda4fOi8ebB%2FXTwy0A%3D%3D","Ver ficha publicada")</f>
        <v>Ver ficha publicada</v>
      </c>
    </row>
    <row r="231" spans="1:6" ht="43.2" customHeight="1" x14ac:dyDescent="0.3">
      <c r="A231" s="42" t="s">
        <v>823</v>
      </c>
      <c r="B231" s="42" t="str">
        <f>HYPERLINK("#'Contratos 2025'!A197","2024/PA/006 · Lote 2")</f>
        <v>2024/PA/006 · Lote 2</v>
      </c>
      <c r="C231" s="42" t="s">
        <v>815</v>
      </c>
      <c r="D231" s="44" t="s">
        <v>824</v>
      </c>
      <c r="E231" s="42" t="s">
        <v>825</v>
      </c>
      <c r="F231" s="42" t="str">
        <f>HYPERLINK("https://contrataciondelestado.es/wps/poc?uri=deeplink:detalle_licitacion&amp;idEvl=NFDpQJSvEumFlFRHfEzEaw%3D%3D","Ver ficha publicada")</f>
        <v>Ver ficha publicada</v>
      </c>
    </row>
    <row r="232" spans="1:6" ht="43.2" customHeight="1" x14ac:dyDescent="0.3">
      <c r="A232" s="42"/>
      <c r="B232" s="42" t="str">
        <f>HYPERLINK("#'Contratos 2025'!A198","2024/PA/007  · Lote 1")</f>
        <v>2024/PA/007  · Lote 1</v>
      </c>
      <c r="C232" s="42" t="s">
        <v>827</v>
      </c>
      <c r="D232" s="44" t="s">
        <v>828</v>
      </c>
      <c r="E232" s="42">
        <v>45826</v>
      </c>
      <c r="F232" s="42" t="str">
        <f>HYPERLINK("#'Contratos 2025'!A198","Ver detalle")</f>
        <v>Ver detalle</v>
      </c>
    </row>
    <row r="233" spans="1:6" ht="28.95" customHeight="1" x14ac:dyDescent="0.3">
      <c r="A233" s="42" t="s">
        <v>796</v>
      </c>
      <c r="B233" s="42" t="str">
        <f>HYPERLINK("#'Contratos 2025'!A189","2025/CB/015")</f>
        <v>2025/CB/015</v>
      </c>
      <c r="C233" s="42" t="s">
        <v>795</v>
      </c>
      <c r="D233" s="44">
        <v>510000</v>
      </c>
      <c r="E233" s="42">
        <v>45840</v>
      </c>
      <c r="F233" s="42" t="str">
        <f>HYPERLINK("https://contrataciondelestado.es/wps/poc?uri=deeplink:detalle_licitacion&amp;idEvl=pIF4QpIXMrP9pbnDwlaUlg%3D%3D","Ver ficha publicada")</f>
        <v>Ver ficha publicada</v>
      </c>
    </row>
    <row r="234" spans="1:6" ht="28.95" customHeight="1" x14ac:dyDescent="0.3">
      <c r="A234" s="42" t="s">
        <v>95</v>
      </c>
      <c r="B234" s="42" t="str">
        <f>HYPERLINK("#'Contratos 2025'!A18","2025/PAS/018")</f>
        <v>2025/PAS/018</v>
      </c>
      <c r="C234" s="42" t="s">
        <v>94</v>
      </c>
      <c r="D234" s="44">
        <v>111836.23</v>
      </c>
      <c r="E234" s="42">
        <v>45980</v>
      </c>
      <c r="F234" s="42" t="str">
        <f>HYPERLINK("https://contrataciondelestado.es/wps/poc?uri=deeplink:detalle_licitacion&amp;idEvl=%2BycH4t6aN%2Bg7%2B9FIQYNjeQ%3D%3D","Ver ficha publicada")</f>
        <v>Ver ficha publicada</v>
      </c>
    </row>
    <row r="235" spans="1:6" ht="28.95" customHeight="1" x14ac:dyDescent="0.3">
      <c r="A235" s="42" t="s">
        <v>678</v>
      </c>
      <c r="B235" s="42" t="str">
        <f>HYPERLINK("#'Contratos 2025'!A159","2025/PA/012  · Lotes 1 y 2")</f>
        <v>2025/PA/012  · Lotes 1 y 2</v>
      </c>
      <c r="C235" s="42" t="s">
        <v>677</v>
      </c>
      <c r="D235" s="44">
        <v>219600</v>
      </c>
      <c r="E235" s="42">
        <v>45933</v>
      </c>
      <c r="F235" s="42" t="str">
        <f>HYPERLINK("#'Contratos 2025'!A159","Ver detalle")</f>
        <v>Ver detalle</v>
      </c>
    </row>
    <row r="236" spans="1:6" ht="72" customHeight="1" x14ac:dyDescent="0.3">
      <c r="A236" s="42" t="s">
        <v>296</v>
      </c>
      <c r="B236" s="42" t="str">
        <f>HYPERLINK("#'Contratos 2025'!A63","2025/PA/006 · Lotes 1, 3, 4, 5 Y 8")</f>
        <v>2025/PA/006 · Lotes 1, 3, 4, 5 Y 8</v>
      </c>
      <c r="C236" s="42" t="s">
        <v>295</v>
      </c>
      <c r="D236" s="44" t="s">
        <v>297</v>
      </c>
      <c r="E236" s="42">
        <v>45946</v>
      </c>
      <c r="F236" s="42" t="str">
        <f>HYPERLINK("https://contrataciondelestado.es/wps/poc?uri=deeplink:detalle_licitacion&amp;idEvl=kiFEiEBmh8pWhbmkna2nXQ%3D%3D","Ver ficha publicada")</f>
        <v>Ver ficha publicada</v>
      </c>
    </row>
    <row r="237" spans="1:6" ht="28.95" customHeight="1" x14ac:dyDescent="0.3">
      <c r="A237" s="42" t="s">
        <v>266</v>
      </c>
      <c r="B237" s="42" t="str">
        <f>HYPERLINK("#'Contratos 2025'!A56","2024/PA/041")</f>
        <v>2024/PA/041</v>
      </c>
      <c r="C237" s="42" t="s">
        <v>265</v>
      </c>
      <c r="D237" s="44">
        <v>113101.5</v>
      </c>
      <c r="E237" s="42">
        <v>45888</v>
      </c>
      <c r="F237" s="42" t="str">
        <f>HYPERLINK("https://contrataciondelestado.es/wps/poc?uri=deeplink:detalle_licitacion&amp;idEvl=ZexfHHxqrc%2F10HRJw8TEnQ%3D%3D","Ver ficha publicada")</f>
        <v>Ver ficha publicada</v>
      </c>
    </row>
    <row r="238" spans="1:6" ht="28.95" customHeight="1" x14ac:dyDescent="0.3">
      <c r="A238" s="42" t="s">
        <v>732</v>
      </c>
      <c r="B238" s="42" t="str">
        <f>HYPERLINK("#'Contratos 2025'!A173","2024/PASA/008")</f>
        <v>2024/PASA/008</v>
      </c>
      <c r="C238" s="42" t="s">
        <v>730</v>
      </c>
      <c r="D238" s="44">
        <v>18234.7</v>
      </c>
      <c r="E238" s="42" t="s">
        <v>733</v>
      </c>
      <c r="F238" s="42" t="str">
        <f>HYPERLINK("https://contrataciondelestado.es/wps/poc?uri=deeplink:detalle_licitacion&amp;idEvl=1e5xG0sN58ngL1BHd3qjQA%3D%3D","Ver ficha publicada")</f>
        <v>Ver ficha publicada</v>
      </c>
    </row>
    <row r="239" spans="1:6" ht="28.95" customHeight="1" x14ac:dyDescent="0.3">
      <c r="A239" s="42" t="s">
        <v>791</v>
      </c>
      <c r="B239" s="42" t="str">
        <f>HYPERLINK("#'Contratos 2025'!A188","2025/CB/014")</f>
        <v>2025/CB/014</v>
      </c>
      <c r="C239" s="42" t="s">
        <v>789</v>
      </c>
      <c r="D239" s="44" t="s">
        <v>792</v>
      </c>
      <c r="E239" s="42" t="s">
        <v>473</v>
      </c>
      <c r="F239" s="42" t="str">
        <f>HYPERLINK("https://contrataciondelestado.es/wps/poc?uri=deeplink:detalle_licitacion&amp;idEvl=rgPRtQn9xQm8ebB%2FXTwy0A%3D%3D","Ver ficha publicada")</f>
        <v>Ver ficha publicada</v>
      </c>
    </row>
    <row r="240" spans="1:6" ht="28.95" customHeight="1" x14ac:dyDescent="0.3">
      <c r="A240" s="42" t="s">
        <v>252</v>
      </c>
      <c r="B240" s="42" t="str">
        <f>HYPERLINK("#'Contratos 2025'!A52","2024/PA/038 · Lote 2")</f>
        <v>2024/PA/038 · Lote 2</v>
      </c>
      <c r="C240" s="42" t="s">
        <v>251</v>
      </c>
      <c r="D240" s="44">
        <v>46161.5</v>
      </c>
      <c r="E240" s="42" t="s">
        <v>248</v>
      </c>
      <c r="F240" s="42" t="str">
        <f>HYPERLINK("https://contrataciondelestado.es/wps/poc?uri=deeplink:detalle_licitacion&amp;idEvl=bVsTj1ufNZSqb7rCcv76BA%3D%3D","Ver ficha publicada")</f>
        <v>Ver ficha publicada</v>
      </c>
    </row>
    <row r="241" spans="1:6" ht="43.2" customHeight="1" x14ac:dyDescent="0.3">
      <c r="A241" s="42" t="s">
        <v>765</v>
      </c>
      <c r="B241" s="42" t="str">
        <f>HYPERLINK("#'Contratos 2025'!A182","2025/PASA/013 Lotes 1 y 2")</f>
        <v>2025/PASA/013 Lotes 1 y 2</v>
      </c>
      <c r="C241" s="42" t="s">
        <v>764</v>
      </c>
      <c r="D241" s="44" t="s">
        <v>766</v>
      </c>
      <c r="E241" s="42">
        <v>45924</v>
      </c>
      <c r="F241" s="42" t="str">
        <f>HYPERLINK("https://contrataciondelestado.es/wps/poc?uri=deeplink:detalle_licitacion&amp;idEvl=tJH9fXxn6Oj%2Fa9DgO%2BoYKQ%3D%3D","Ver ficha publicada")</f>
        <v>Ver ficha publicada</v>
      </c>
    </row>
    <row r="242" spans="1:6" ht="72" customHeight="1" x14ac:dyDescent="0.3">
      <c r="A242" s="42" t="s">
        <v>228</v>
      </c>
      <c r="B242" s="42" t="str">
        <f>HYPERLINK("#'Contratos 2025'!A47","2024/PA/031")</f>
        <v>2024/PA/031</v>
      </c>
      <c r="C242" s="42" t="s">
        <v>226</v>
      </c>
      <c r="D242" s="44" t="s">
        <v>229</v>
      </c>
      <c r="E242" s="42" t="s">
        <v>230</v>
      </c>
      <c r="F242" s="42" t="str">
        <f>HYPERLINK("https://contrataciondelestado.es/wps/poc?uri=deeplink:detalle_licitacion&amp;idEvl=K%2Fk%2BfcCdrBG9Hd5zqvq9cg%3D%3D","Ver ficha publicada")</f>
        <v>Ver ficha publicada</v>
      </c>
    </row>
    <row r="243" spans="1:6" x14ac:dyDescent="0.3">
      <c r="A243" s="42" t="s">
        <v>774</v>
      </c>
      <c r="B243" s="42" t="str">
        <f>HYPERLINK("#'Contratos 2025'!A184","2025/PASA/018")</f>
        <v>2025/PASA/018</v>
      </c>
      <c r="C243" s="42" t="s">
        <v>773</v>
      </c>
      <c r="D243" s="44">
        <v>72479</v>
      </c>
      <c r="E243" s="42">
        <v>46009</v>
      </c>
      <c r="F243" s="42" t="str">
        <f>HYPERLINK("https://contrataciondelestado.es/wps/poc?uri=deeplink:detalle_licitacion&amp;idEvl=EovTlf1LtUGqb7rCcv76BA%3D%3D","Ver ficha publicada")</f>
        <v>Ver ficha publicada</v>
      </c>
    </row>
    <row r="244" spans="1:6" ht="28.95" customHeight="1" x14ac:dyDescent="0.3">
      <c r="A244" s="42" t="s">
        <v>454</v>
      </c>
      <c r="B244" s="42" t="str">
        <f>HYPERLINK("#'Contratos 2025'!A104","2024/CB/027")</f>
        <v>2024/CB/027</v>
      </c>
      <c r="C244" s="42" t="s">
        <v>453</v>
      </c>
      <c r="D244" s="44" t="s">
        <v>455</v>
      </c>
      <c r="E244" s="42" t="s">
        <v>145</v>
      </c>
      <c r="F244" s="42" t="str">
        <f>HYPERLINK("https://contrataciondelestado.es/wps/poc?uri=deeplink:detalle_licitacion&amp;idEvl=Pa0tmrBdnIqKeVWTb9Scog%3D%3D","Ver ficha publicada")</f>
        <v>Ver ficha publicada</v>
      </c>
    </row>
    <row r="245" spans="1:6" ht="43.2" customHeight="1" x14ac:dyDescent="0.3">
      <c r="A245" s="42"/>
      <c r="B245" s="42" t="str">
        <f>HYPERLINK("#'Contratos 2025'!A122","2025/CB/021")</f>
        <v>2025/CB/021</v>
      </c>
      <c r="C245" s="42" t="s">
        <v>536</v>
      </c>
      <c r="D245" s="44" t="s">
        <v>537</v>
      </c>
      <c r="E245" s="42" t="s">
        <v>272</v>
      </c>
      <c r="F245" s="42" t="str">
        <f>HYPERLINK("https://contrataciondelestado.es/wps/poc?uri=deeplink:detalle_licitacion&amp;idEvl=Hn7j%2FKlRsGfjHF5qKI4aaw%3D%3D","Ver ficha publicada")</f>
        <v>Ver ficha publicada</v>
      </c>
    </row>
    <row r="246" spans="1:6" ht="28.95" customHeight="1" x14ac:dyDescent="0.3">
      <c r="A246" s="42"/>
      <c r="B246" s="42" t="str">
        <f>HYPERLINK("#'Contratos 2025'!A124","2025/CB/023")</f>
        <v>2025/CB/023</v>
      </c>
      <c r="C246" s="42" t="s">
        <v>544</v>
      </c>
      <c r="D246" s="44">
        <v>1165.21</v>
      </c>
      <c r="E246" s="42">
        <v>45848</v>
      </c>
      <c r="F246" s="42" t="str">
        <f>HYPERLINK("https://contrataciondelestado.es/wps/poc?uri=deeplink:detalle_licitacion&amp;idEvl=gW7L0jYPDEV9Zh%2FyRJgM8w%3D%3D","Ver ficha publicada")</f>
        <v>Ver ficha publicada</v>
      </c>
    </row>
    <row r="247" spans="1:6" ht="43.2" customHeight="1" x14ac:dyDescent="0.3">
      <c r="A247" s="42"/>
      <c r="B247" s="42" t="str">
        <f>HYPERLINK("#'Contratos 2025'!A125","2025/CB/024")</f>
        <v>2025/CB/024</v>
      </c>
      <c r="C247" s="42" t="s">
        <v>548</v>
      </c>
      <c r="D247" s="44">
        <v>68057.919999999998</v>
      </c>
      <c r="E247" s="42">
        <v>45855</v>
      </c>
      <c r="F247" s="42" t="str">
        <f>HYPERLINK("https://contrataciondelestado.es/wps/poc?uri=deeplink:detalle_licitacion&amp;idEvl=nLplhJF22UW2gkLQ8TeYKA%3D%3D","Ver ficha publicada")</f>
        <v>Ver ficha publicada</v>
      </c>
    </row>
    <row r="248" spans="1:6" ht="43.2" customHeight="1" x14ac:dyDescent="0.3">
      <c r="A248" s="42"/>
      <c r="B248" s="42" t="str">
        <f>HYPERLINK("#'Contratos 2025'!A127","2025/CB/026")</f>
        <v>2025/CB/026</v>
      </c>
      <c r="C248" s="42" t="s">
        <v>554</v>
      </c>
      <c r="D248" s="44">
        <v>737.36</v>
      </c>
      <c r="E248" s="42">
        <v>45856</v>
      </c>
      <c r="F248" s="42" t="str">
        <f>HYPERLINK("https://contrataciondelestado.es/wps/poc?uri=deeplink:detalle_licitacion&amp;idEvl=2LysVaZNc7Ytm4eBPtV6eQ%3D%3D","Ver ficha publicada")</f>
        <v>Ver ficha publicada</v>
      </c>
    </row>
    <row r="249" spans="1:6" ht="28.95" customHeight="1" x14ac:dyDescent="0.3">
      <c r="A249" s="42"/>
      <c r="B249" s="42" t="str">
        <f>HYPERLINK("#'Contratos 2025'!A128","2025/CB/028")</f>
        <v>2025/CB/028</v>
      </c>
      <c r="C249" s="42" t="s">
        <v>558</v>
      </c>
      <c r="D249" s="44">
        <v>7556.63</v>
      </c>
      <c r="E249" s="42">
        <v>45918</v>
      </c>
      <c r="F249" s="42" t="str">
        <f>HYPERLINK("https://contrataciondelestado.es/wps/poc?uri=deeplink:detalle_licitacion&amp;idEvl=ofmLxVgHwbPECtSnloz%2BZQ%3D%3D","Ver ficha publicada")</f>
        <v>Ver ficha publicada</v>
      </c>
    </row>
    <row r="250" spans="1:6" ht="28.95" customHeight="1" x14ac:dyDescent="0.3">
      <c r="A250" s="42"/>
      <c r="B250" s="42" t="str">
        <f>HYPERLINK("#'Contratos 2025'!A130","2025/CB/030")</f>
        <v>2025/CB/030</v>
      </c>
      <c r="C250" s="42" t="s">
        <v>564</v>
      </c>
      <c r="D250" s="44">
        <v>765.28</v>
      </c>
      <c r="E250" s="42">
        <v>45848</v>
      </c>
      <c r="F250" s="42" t="str">
        <f>HYPERLINK("https://contrataciondelestado.es/wps/poc?uri=deeplink:detalle_licitacion&amp;idEvl=twOA8dbeLHZrhBlEHQFSKA%3D%3D","Ver ficha publicada")</f>
        <v>Ver ficha publicada</v>
      </c>
    </row>
    <row r="251" spans="1:6" ht="28.95" customHeight="1" x14ac:dyDescent="0.3">
      <c r="A251" s="42"/>
      <c r="B251" s="42" t="str">
        <f>HYPERLINK("#'Contratos 2025'!A135","2025/CB/035")</f>
        <v>2025/CB/035</v>
      </c>
      <c r="C251" s="42" t="s">
        <v>579</v>
      </c>
      <c r="D251" s="44">
        <v>2776.37</v>
      </c>
      <c r="E251" s="42">
        <v>45856</v>
      </c>
      <c r="F251" s="42" t="str">
        <f>HYPERLINK("https://contrataciondelestado.es/wps/poc?uri=deeplink:detalle_licitacion&amp;idEvl=zmtEfQg5jj4ZDGvgaZEVxQ%3D%3D","Ver ficha publicada")</f>
        <v>Ver ficha publicada</v>
      </c>
    </row>
    <row r="252" spans="1:6" ht="28.95" customHeight="1" x14ac:dyDescent="0.3">
      <c r="A252" s="42"/>
      <c r="B252" s="42" t="str">
        <f>HYPERLINK("#'Contratos 2025'!A136","2025/CB/036")</f>
        <v>2025/CB/036</v>
      </c>
      <c r="C252" s="42" t="s">
        <v>582</v>
      </c>
      <c r="D252" s="44">
        <v>1356.26</v>
      </c>
      <c r="E252" s="42">
        <v>45856</v>
      </c>
      <c r="F252" s="42" t="str">
        <f>HYPERLINK("https://contrataciondelestado.es/wps/poc?uri=deeplink:detalle_licitacion&amp;idEvl=OkqzkvlYlp87u6%2B%2FR7DUoA%3D%3D","Ver ficha publicada")</f>
        <v>Ver ficha publicada</v>
      </c>
    </row>
    <row r="253" spans="1:6" ht="28.95" customHeight="1" x14ac:dyDescent="0.3">
      <c r="A253" s="42"/>
      <c r="B253" s="42" t="str">
        <f>HYPERLINK("#'Contratos 2025'!A139","2025/CB/039")</f>
        <v>2025/CB/039</v>
      </c>
      <c r="C253" s="42" t="s">
        <v>593</v>
      </c>
      <c r="D253" s="44">
        <v>1049.5999999999999</v>
      </c>
      <c r="E253" s="42">
        <v>45849</v>
      </c>
      <c r="F253" s="42" t="str">
        <f>HYPERLINK("https://contrataciondelestado.es/wps/poc?uri=deeplink:detalle_licitacion&amp;idEvl=ywWa%2BDhBLw0zjChw4z%2FXvw%3D%3D","Ver ficha publicada")</f>
        <v>Ver ficha publicada</v>
      </c>
    </row>
    <row r="254" spans="1:6" ht="43.2" customHeight="1" x14ac:dyDescent="0.3">
      <c r="A254" s="42"/>
      <c r="B254" s="42" t="str">
        <f>HYPERLINK("#'Contratos 2025'!A141","2025/CB/041")</f>
        <v>2025/CB/041</v>
      </c>
      <c r="C254" s="42" t="s">
        <v>599</v>
      </c>
      <c r="D254" s="44">
        <v>1160.1600000000001</v>
      </c>
      <c r="E254" s="42">
        <v>45883</v>
      </c>
      <c r="F254" s="42" t="str">
        <f>HYPERLINK("https://contrataciondelestado.es/wps/poc?uri=deeplink:detalle_licitacion&amp;idEvl=xTVqVatPsaUtm4eBPtV6eQ%3D%3D","Ver ficha publicada")</f>
        <v>Ver ficha publicada</v>
      </c>
    </row>
    <row r="255" spans="1:6" ht="43.2" customHeight="1" x14ac:dyDescent="0.3">
      <c r="A255" s="42"/>
      <c r="B255" s="42" t="str">
        <f>HYPERLINK("#'Contratos 2025'!A145","2025/CB/045")</f>
        <v>2025/CB/045</v>
      </c>
      <c r="C255" s="42" t="s">
        <v>613</v>
      </c>
      <c r="D255" s="44">
        <v>619.04999999999995</v>
      </c>
      <c r="E255" s="42">
        <v>45966</v>
      </c>
      <c r="F255" s="42" t="str">
        <f>HYPERLINK("https://contrataciondelestado.es/wps/poc?uri=deeplink:detalle_licitacion&amp;idEvl=NPXyR4LjEJlQFSeKCRun4Q%3D%3D","Ver ficha publicada")</f>
        <v>Ver ficha publicada</v>
      </c>
    </row>
    <row r="256" spans="1:6" ht="43.2" customHeight="1" x14ac:dyDescent="0.3">
      <c r="A256" s="42" t="s">
        <v>818</v>
      </c>
      <c r="B256" s="42" t="str">
        <f>HYPERLINK("#'Contratos 2025'!A196","2024/PA/006 · Lote 1")</f>
        <v>2024/PA/006 · Lote 1</v>
      </c>
      <c r="C256" s="42" t="s">
        <v>815</v>
      </c>
      <c r="D256" s="44" t="s">
        <v>819</v>
      </c>
      <c r="E256" s="42" t="s">
        <v>820</v>
      </c>
      <c r="F256" s="42" t="str">
        <f>HYPERLINK("https://contrataciondelestado.es/wps/poc?uri=deeplink:detalle_licitacion&amp;idEvl=NFDpQJSvEumFlFRHfEzEaw%3D%3D","Ver ficha publicada")</f>
        <v>Ver ficha publicada</v>
      </c>
    </row>
    <row r="257" spans="1:6" ht="28.95" customHeight="1" x14ac:dyDescent="0.3">
      <c r="A257" s="42" t="s">
        <v>43</v>
      </c>
      <c r="B257" s="42" t="str">
        <f>HYPERLINK("#'Contratos 2025'!A7","2025/PASA/001 ·  Lote 1")</f>
        <v>2025/PASA/001 ·  Lote 1</v>
      </c>
      <c r="C257" s="42" t="s">
        <v>41</v>
      </c>
      <c r="D257" s="44" t="s">
        <v>44</v>
      </c>
      <c r="E257" s="42" t="s">
        <v>45</v>
      </c>
      <c r="F257" s="42" t="str">
        <f>HYPERLINK("https://contrataciondelestado.es/wps/poc?uri=deeplink:detalle_licitacion&amp;idEvl=rNjIfyUxlY%2BopEMYCmrbmw%3D%3D","Ver ficha publicada")</f>
        <v>Ver ficha publicada</v>
      </c>
    </row>
    <row r="258" spans="1:6" ht="28.95" customHeight="1" x14ac:dyDescent="0.3">
      <c r="A258" s="42" t="s">
        <v>38</v>
      </c>
      <c r="B258" s="42" t="str">
        <f>HYPERLINK("#'Contratos 2025'!A6","2025/PAS/012")</f>
        <v>2025/PAS/012</v>
      </c>
      <c r="C258" s="42" t="s">
        <v>36</v>
      </c>
      <c r="D258" s="44">
        <v>9680</v>
      </c>
      <c r="E258" s="42">
        <v>45965</v>
      </c>
      <c r="F258" s="42" t="str">
        <f>HYPERLINK("https://contrataciondelestado.es/wps/poc?uri=deeplink:detalle_licitacion&amp;idEvl=odAk3vz6EQY%2Bk2oCbDosIw%3D%3D","Ver ficha publicada")</f>
        <v>Ver ficha publicada</v>
      </c>
    </row>
    <row r="259" spans="1:6" ht="28.95" customHeight="1" x14ac:dyDescent="0.3">
      <c r="A259" s="42" t="s">
        <v>644</v>
      </c>
      <c r="B259" s="42" t="str">
        <f>HYPERLINK("#'Contratos 2025'!A152","2024/PA/025  · Lote 7")</f>
        <v>2024/PA/025  · Lote 7</v>
      </c>
      <c r="C259" s="42" t="s">
        <v>643</v>
      </c>
      <c r="D259" s="44" t="s">
        <v>645</v>
      </c>
      <c r="E259" s="42" t="s">
        <v>203</v>
      </c>
      <c r="F259" s="42" t="str">
        <f>HYPERLINK("#'Contratos 2025'!A152","Ver detalle")</f>
        <v>Ver detalle</v>
      </c>
    </row>
    <row r="260" spans="1:6" x14ac:dyDescent="0.3">
      <c r="A260" s="42" t="s">
        <v>907</v>
      </c>
      <c r="B260" s="42" t="str">
        <f>HYPERLINK("#'Contratos 2025'!A170","2025/PAS/014")</f>
        <v>2025/PAS/014</v>
      </c>
      <c r="C260" s="42" t="s">
        <v>719</v>
      </c>
      <c r="D260" s="44">
        <v>82822.080000000002</v>
      </c>
      <c r="E260" s="42">
        <v>46007</v>
      </c>
      <c r="F260" s="42" t="str">
        <f>HYPERLINK("https://contrataciondelestado.es/wps/poc?uri=deeplink:detalle_licitacion&amp;idEvl=tqrhFTAy%2BQOdkQsA7ROvsg%3D%3D","Ver ficha publicada")</f>
        <v>Ver ficha publicada</v>
      </c>
    </row>
    <row r="261" spans="1:6" ht="28.95" customHeight="1" x14ac:dyDescent="0.3">
      <c r="A261" s="42" t="s">
        <v>339</v>
      </c>
      <c r="B261" s="42" t="str">
        <f>HYPERLINK("#'Contratos 2025'!A76","2025/PA/014 · Lote 3")</f>
        <v>2025/PA/014 · Lote 3</v>
      </c>
      <c r="C261" s="42" t="s">
        <v>338</v>
      </c>
      <c r="D261" s="44">
        <v>4199.9799999999996</v>
      </c>
      <c r="E261" s="42">
        <v>45958</v>
      </c>
      <c r="F261" s="42" t="str">
        <f>HYPERLINK("https://contrataciondelestado.es/wps/poc?uri=deeplink:detalle_licitacion&amp;idEvl=x4QNYulJWiVt5r0ngvMetA%3D%3D","Ver ficha publicada")</f>
        <v>Ver ficha publicada</v>
      </c>
    </row>
    <row r="262" spans="1:6" ht="57.6" customHeight="1" x14ac:dyDescent="0.3">
      <c r="A262" s="42" t="s">
        <v>710</v>
      </c>
      <c r="B262" s="42" t="str">
        <f>HYPERLINK("#'Contratos 2025'!A167","2025/PAS/013 · Lote 1")</f>
        <v>2025/PAS/013 · Lote 1</v>
      </c>
      <c r="C262" s="42" t="s">
        <v>709</v>
      </c>
      <c r="D262" s="44">
        <v>7560</v>
      </c>
      <c r="E262" s="42">
        <v>45993</v>
      </c>
      <c r="F262" s="42" t="str">
        <f>HYPERLINK("https://contrataciondelestado.es/wps/poc?uri=deeplink:detalle_licitacion&amp;idEvl=HPXx6l7cWJt%2FR5QFTlaM4A%3D%3D","Ver ficha publicada")</f>
        <v>Ver ficha publicada</v>
      </c>
    </row>
    <row r="263" spans="1:6" ht="28.95" customHeight="1" x14ac:dyDescent="0.3">
      <c r="A263" s="42" t="s">
        <v>342</v>
      </c>
      <c r="B263" s="42" t="str">
        <f>HYPERLINK("#'Contratos 2025'!A77","2025/PA/014 · Lotes 1 Y 2")</f>
        <v>2025/PA/014 · Lotes 1 Y 2</v>
      </c>
      <c r="C263" s="42" t="s">
        <v>338</v>
      </c>
      <c r="D263" s="44" t="s">
        <v>343</v>
      </c>
      <c r="E263" s="42">
        <v>45959</v>
      </c>
      <c r="F263" s="42" t="str">
        <f>HYPERLINK("https://contrataciondelestado.es/wps/poc?uri=deeplink:detalle_licitacion&amp;idEvl=x4QNYulJWiVt5r0ngvMetA%3D%3D","Ver ficha publicada")</f>
        <v>Ver ficha publicada</v>
      </c>
    </row>
    <row r="264" spans="1:6" ht="28.95" customHeight="1" x14ac:dyDescent="0.3">
      <c r="A264" s="42" t="s">
        <v>307</v>
      </c>
      <c r="B264" s="42" t="str">
        <f>HYPERLINK("#'Contratos 2025'!A66","2025/PA/006-LOTE 9")</f>
        <v>2025/PA/006-LOTE 9</v>
      </c>
      <c r="C264" s="42" t="s">
        <v>306</v>
      </c>
      <c r="D264" s="44">
        <v>8011.56</v>
      </c>
      <c r="E264" s="42">
        <v>45951</v>
      </c>
      <c r="F264" s="42" t="str">
        <f>HYPERLINK("https://contrataciondelestado.es/wps/poc?uri=deeplink:detalle_licitacion&amp;idEvl=kiFEiEBmh8pWhbmkna2nXQ%3D%3D","Ver ficha publicada")</f>
        <v>Ver ficha publicada</v>
      </c>
    </row>
    <row r="265" spans="1:6" ht="28.95" customHeight="1" x14ac:dyDescent="0.3">
      <c r="A265" s="42" t="s">
        <v>271</v>
      </c>
      <c r="B265" s="42" t="str">
        <f>HYPERLINK("#'Contratos 2025'!A57","2024/PA/043")</f>
        <v>2024/PA/043</v>
      </c>
      <c r="C265" s="42" t="s">
        <v>269</v>
      </c>
      <c r="D265" s="44">
        <v>709868.64</v>
      </c>
      <c r="E265" s="42" t="s">
        <v>272</v>
      </c>
      <c r="F265" s="42" t="str">
        <f>HYPERLINK("https://contrataciondelestado.es/wps/poc?uri=deeplink:detalle_licitacion&amp;idEvl=mYERcyZG6IA2wEhQbcAqug%3D%3D","Ver ficha publicada")</f>
        <v>Ver ficha publicada</v>
      </c>
    </row>
    <row r="266" spans="1:6" ht="43.2" customHeight="1" x14ac:dyDescent="0.3">
      <c r="A266" s="42" t="s">
        <v>837</v>
      </c>
      <c r="B266" s="42" t="str">
        <f>HYPERLINK("#'Contratos 2025'!A200","2024/PA/034  · Lote 12 (B2)")</f>
        <v>2024/PA/034  · Lote 12 (B2)</v>
      </c>
      <c r="C266" s="42" t="s">
        <v>835</v>
      </c>
      <c r="D266" s="44" t="s">
        <v>838</v>
      </c>
      <c r="E266" s="42" t="s">
        <v>839</v>
      </c>
      <c r="F266" s="42" t="str">
        <f>HYPERLINK("#'Contratos 2025'!A200","Ver detalle")</f>
        <v>Ver detalle</v>
      </c>
    </row>
    <row r="267" spans="1:6" ht="28.95" customHeight="1" x14ac:dyDescent="0.3">
      <c r="A267" s="42" t="s">
        <v>187</v>
      </c>
      <c r="B267" s="42" t="str">
        <f>HYPERLINK("#'Contratos 2025'!A40","2025/CB/052")</f>
        <v>2025/CB/052</v>
      </c>
      <c r="C267" s="42" t="s">
        <v>186</v>
      </c>
      <c r="D267" s="44">
        <v>7559.69</v>
      </c>
      <c r="E267" s="42">
        <v>46014</v>
      </c>
      <c r="F267" s="42" t="str">
        <f>HYPERLINK("https://contrataciondelestado.es/wps/poc?uri=deeplink:detalle_licitacion&amp;idEvl=eV9CsmL7S2s%2Bk2oCbDosIw%3D%3D","Ver ficha publicada")</f>
        <v>Ver ficha publicada</v>
      </c>
    </row>
    <row r="268" spans="1:6" ht="43.2" customHeight="1" x14ac:dyDescent="0.3">
      <c r="A268" s="42" t="s">
        <v>858</v>
      </c>
      <c r="B268" s="42" t="str">
        <f>HYPERLINK("#'Contratos 2025'!A206","2024/PA/034 · Lotes 7 Y 8")</f>
        <v>2024/PA/034 · Lotes 7 Y 8</v>
      </c>
      <c r="C268" s="42" t="s">
        <v>835</v>
      </c>
      <c r="D268" s="44" t="s">
        <v>962</v>
      </c>
      <c r="E268" s="42" t="s">
        <v>248</v>
      </c>
      <c r="F268" s="42" t="str">
        <f>HYPERLINK("https://contrataciondelestado.es/wps/poc?uri=deeplink:detalle_licitacion&amp;idEvl=U%2FXKnY4zs0wZDGvgaZEVxQ%3D%3D","Ver ficha publicada")</f>
        <v>Ver ficha publicada</v>
      </c>
    </row>
    <row r="269" spans="1:6" ht="28.95" customHeight="1" x14ac:dyDescent="0.3">
      <c r="A269" s="42" t="s">
        <v>16</v>
      </c>
      <c r="B269" s="42" t="str">
        <f>HYPERLINK("#'Contratos 2025'!A2","2024/PA/029")</f>
        <v>2024/PA/029</v>
      </c>
      <c r="C269" s="42" t="s">
        <v>12</v>
      </c>
      <c r="D269" s="44" t="s">
        <v>17</v>
      </c>
      <c r="E269" s="42" t="s">
        <v>18</v>
      </c>
      <c r="F269" s="42" t="str">
        <f>HYPERLINK("https://contrataciondelestado.es/wps/poc?uri=deeplink:detalle_licitacion&amp;idEvl=6Is%2B9dFYSE7i0Kd8%2Brcp6w%3D%3D","Ver ficha publicada")</f>
        <v>Ver ficha publicada</v>
      </c>
    </row>
    <row r="270" spans="1:6" ht="43.2" customHeight="1" x14ac:dyDescent="0.3">
      <c r="A270" s="42" t="s">
        <v>114</v>
      </c>
      <c r="B270" s="42" t="str">
        <f>HYPERLINK("#'Contratos 2025'!A22","2025/PAS/023  · Lote 2")</f>
        <v>2025/PAS/023  · Lote 2</v>
      </c>
      <c r="C270" s="42" t="s">
        <v>113</v>
      </c>
      <c r="D270" s="44">
        <v>4772.78</v>
      </c>
      <c r="E270" s="42">
        <v>46021</v>
      </c>
      <c r="F270" s="42" t="str">
        <f>HYPERLINK("https://contrataciondelestado.es/wps/poc?uri=deeplink:detalle_licitacion&amp;idEvl=InCt19XX0Jc4NavIWzMcHA%3D%3D","Ver ficha publicada")</f>
        <v>Ver ficha publicada</v>
      </c>
    </row>
    <row r="271" spans="1:6" ht="43.2" customHeight="1" x14ac:dyDescent="0.3">
      <c r="A271" s="42" t="s">
        <v>110</v>
      </c>
      <c r="B271" s="42" t="str">
        <f>HYPERLINK("#'Contratos 2025'!A21","2025/PAS/023  · Lote 1")</f>
        <v>2025/PAS/023  · Lote 1</v>
      </c>
      <c r="C271" s="42" t="s">
        <v>108</v>
      </c>
      <c r="D271" s="44">
        <v>52478.16</v>
      </c>
      <c r="E271" s="42">
        <v>46022</v>
      </c>
      <c r="F271" s="42" t="str">
        <f>HYPERLINK("https://contrataciondelestado.es/wps/poc?uri=deeplink:detalle_licitacion&amp;idEvl=InCt19XX0Jc4NavIWzMcHA%3D%3D","Ver ficha publicada")</f>
        <v>Ver ficha publicada</v>
      </c>
    </row>
    <row r="272" spans="1:6" ht="28.95" customHeight="1" x14ac:dyDescent="0.3">
      <c r="A272" s="42" t="s">
        <v>22</v>
      </c>
      <c r="B272" s="42" t="str">
        <f>HYPERLINK("#'Contratos 2025'!A3","2025/PA/029")</f>
        <v>2025/PA/029</v>
      </c>
      <c r="C272" s="42" t="s">
        <v>21</v>
      </c>
      <c r="D272" s="44"/>
      <c r="E272" s="42">
        <v>45975</v>
      </c>
      <c r="F272" s="42" t="str">
        <f>HYPERLINK("https://contrataciondelestado.es/wps/poc?uri=deeplink:detalle_licitacion&amp;idEvl=Mv7OwG2Y2Ormnwcj%2BxbdTg%3D%3D","Ver ficha publicada")</f>
        <v>Ver ficha publicada</v>
      </c>
    </row>
    <row r="273" spans="1:6" ht="57.6" customHeight="1" x14ac:dyDescent="0.3">
      <c r="A273" s="42" t="s">
        <v>625</v>
      </c>
      <c r="B273" s="42" t="str">
        <f>HYPERLINK("#'Contratos 2025'!A148","2024/PA/021  · Lotes 1, 2 y 3")</f>
        <v>2024/PA/021  · Lotes 1, 2 y 3</v>
      </c>
      <c r="C273" s="42" t="s">
        <v>623</v>
      </c>
      <c r="D273" s="44" t="s">
        <v>626</v>
      </c>
      <c r="E273" s="42">
        <v>45684</v>
      </c>
      <c r="F273" s="42" t="str">
        <f>HYPERLINK("#'Contratos 2025'!A148","Ver detalle")</f>
        <v>Ver detalle</v>
      </c>
    </row>
    <row r="274" spans="1:6" ht="57.6" customHeight="1" x14ac:dyDescent="0.3">
      <c r="A274" s="42" t="s">
        <v>384</v>
      </c>
      <c r="B274" s="42" t="str">
        <f>HYPERLINK("#'Contratos 2025'!A74","2025/PA/013  · Lote 2")</f>
        <v>2025/PA/013  · Lote 2</v>
      </c>
      <c r="C274" s="42" t="s">
        <v>330</v>
      </c>
      <c r="D274" s="44">
        <v>31457.58</v>
      </c>
      <c r="E274" s="42">
        <v>45889</v>
      </c>
      <c r="F274" s="42" t="str">
        <f>HYPERLINK("https://contrataciondelestado.es/wps/poc?uri=deeplink:detalle_licitacion&amp;idEvl=mI%2ByFW0hG5A36J9Lctlsuw%3D%3D","Ver ficha publicada")</f>
        <v>Ver ficha publicada</v>
      </c>
    </row>
    <row r="275" spans="1:6" ht="28.95" customHeight="1" x14ac:dyDescent="0.3">
      <c r="A275" s="42"/>
      <c r="B275" s="42" t="str">
        <f>HYPERLINK("#'Contratos 2025'!A88","2025/PA/032 · Lote 3")</f>
        <v>2025/PA/032 · Lote 3</v>
      </c>
      <c r="C275" s="42" t="s">
        <v>383</v>
      </c>
      <c r="D275" s="44">
        <v>23483.9</v>
      </c>
      <c r="E275" s="42">
        <v>46010</v>
      </c>
      <c r="F275" s="42" t="str">
        <f>HYPERLINK("https://contrataciondelestado.es/wps/poc?uri=deeplink:detalle_licitacion&amp;idEvl=a5bCiSgiKgD10HRJw8TEnQ%3D%3D","Ver ficha publicada")</f>
        <v>Ver ficha publicada</v>
      </c>
    </row>
    <row r="276" spans="1:6" ht="57.6" customHeight="1" x14ac:dyDescent="0.3">
      <c r="A276" s="42" t="s">
        <v>428</v>
      </c>
      <c r="B276" s="42" t="str">
        <f>HYPERLINK("#'Contratos 2025'!A97","2025/PASA/004 · Lote 3")</f>
        <v>2025/PASA/004 · Lote 3</v>
      </c>
      <c r="C276" s="42" t="s">
        <v>427</v>
      </c>
      <c r="D276" s="44" t="s">
        <v>429</v>
      </c>
      <c r="E276" s="42" t="s">
        <v>420</v>
      </c>
      <c r="F276" s="42" t="str">
        <f>HYPERLINK("https://contrataciondelestado.es/wps/poc?uri=deeplink:detalle_licitacion&amp;idEvl=hlaslNpINo3yoM4us5k4vw%3D%3D","Ver ficha publicada")</f>
        <v>Ver ficha publicada</v>
      </c>
    </row>
    <row r="277" spans="1:6" x14ac:dyDescent="0.3">
      <c r="A277" s="42" t="s">
        <v>658</v>
      </c>
      <c r="B277" s="42" t="str">
        <f>HYPERLINK("#'Contratos 2025'!A155","2024/PA/032")</f>
        <v>2024/PA/032</v>
      </c>
      <c r="C277" s="42" t="s">
        <v>657</v>
      </c>
      <c r="D277" s="44" t="s">
        <v>659</v>
      </c>
      <c r="E277" s="42" t="s">
        <v>216</v>
      </c>
      <c r="F277" s="42" t="str">
        <f>HYPERLINK("https://contrataciondelestado.es/wps/poc?uri=deeplink:detalle_licitacion&amp;idEvl=xMLOwXKycQGopEMYCmrbmw%3D%3D","Ver ficha publicada")</f>
        <v>Ver ficha publicada</v>
      </c>
    </row>
    <row r="278" spans="1:6" ht="28.95" customHeight="1" x14ac:dyDescent="0.3">
      <c r="A278" s="42" t="s">
        <v>28</v>
      </c>
      <c r="B278" s="42" t="str">
        <f>HYPERLINK("#'Contratos 2025'!A4","2025/PASA/005")</f>
        <v>2025/PASA/005</v>
      </c>
      <c r="C278" s="42" t="s">
        <v>25</v>
      </c>
      <c r="D278" s="44">
        <v>29862.05</v>
      </c>
      <c r="E278" s="42">
        <v>45881</v>
      </c>
      <c r="F278" s="42" t="str">
        <f>HYPERLINK("https://contrataciondelestado.es/wps/poc?uri=deeplink:detalle_licitacion&amp;idEvl=EPS4WOwrt1wtm4eBPtV6eQ%3D%3D","Ver ficha publicada")</f>
        <v>Ver ficha publicada</v>
      </c>
    </row>
    <row r="279" spans="1:6" ht="57.6" customHeight="1" x14ac:dyDescent="0.3">
      <c r="A279" s="42" t="s">
        <v>331</v>
      </c>
      <c r="B279" s="42" t="str">
        <f>HYPERLINK("#'Contratos 2025'!A73","2025/PA/013  · Lote 1")</f>
        <v>2025/PA/013  · Lote 1</v>
      </c>
      <c r="C279" s="42" t="s">
        <v>330</v>
      </c>
      <c r="D279" s="44">
        <v>55629.75</v>
      </c>
      <c r="E279" s="42">
        <v>45889</v>
      </c>
      <c r="F279" s="42" t="str">
        <f>HYPERLINK("https://contrataciondelestado.es/wps/poc?uri=deeplink:detalle_licitacion&amp;idEvl=mI%2ByFW0hG5A36J9Lctlsuw%3D%3D","Ver ficha publicada")</f>
        <v>Ver ficha publicada</v>
      </c>
    </row>
    <row r="280" spans="1:6" ht="28.95" customHeight="1" x14ac:dyDescent="0.3">
      <c r="A280" s="42"/>
      <c r="B280" s="42" t="str">
        <f>HYPERLINK("#'Contratos 2025'!A102","2025/PASA/020 · Lote 2")</f>
        <v>2025/PASA/020 · Lote 2</v>
      </c>
      <c r="C280" s="42" t="s">
        <v>446</v>
      </c>
      <c r="D280" s="44">
        <v>10315.25</v>
      </c>
      <c r="E280" s="42">
        <v>46000</v>
      </c>
      <c r="F280" s="42" t="str">
        <f>HYPERLINK("https://contrataciondelestado.es/wps/poc?uri=deeplink:detalle_licitacion&amp;idEvl=dqfgokKYmJtLAIVZdUs8KA%3D%3D","Ver ficha publicada")</f>
        <v>Ver ficha publicada</v>
      </c>
    </row>
    <row r="281" spans="1:6" ht="57.6" customHeight="1" x14ac:dyDescent="0.3">
      <c r="A281" s="42" t="s">
        <v>310</v>
      </c>
      <c r="B281" s="42" t="str">
        <f>HYPERLINK("#'Contratos 2025'!A67","2025/PA/007  · Lote 1")</f>
        <v>2025/PA/007  · Lote 1</v>
      </c>
      <c r="C281" s="42" t="s">
        <v>309</v>
      </c>
      <c r="D281" s="44">
        <v>31460</v>
      </c>
      <c r="E281" s="42">
        <v>45839</v>
      </c>
      <c r="F281" s="42" t="str">
        <f>HYPERLINK("https://contrataciondelestado.es/wps/poc?uri=deeplink:detalle_licitacion&amp;idEvl=omvqQJ11Bnuzz8fXU2i3eQ%3D%3D","Ver ficha publicada")</f>
        <v>Ver ficha publicada</v>
      </c>
    </row>
    <row r="282" spans="1:6" ht="43.2" customHeight="1" x14ac:dyDescent="0.3">
      <c r="A282" s="42" t="s">
        <v>852</v>
      </c>
      <c r="B282" s="42" t="str">
        <f>HYPERLINK("#'Contratos 2025'!A204","2024/PA/034 · Lotes 10 (A) Y 11 (B1)")</f>
        <v>2024/PA/034 · Lotes 10 (A) Y 11 (B1)</v>
      </c>
      <c r="C282" s="42" t="s">
        <v>835</v>
      </c>
      <c r="D282" s="44" t="s">
        <v>853</v>
      </c>
      <c r="E282" s="42" t="s">
        <v>467</v>
      </c>
      <c r="F282" s="42" t="str">
        <f>HYPERLINK("https://contrataciondelestado.es/wps/poc?uri=deeplink:detalle_licitacion&amp;idEvl=U%2FXKnY4zs0wZDGvgaZEVxQ%3D%3D","Ver ficha publicada")</f>
        <v>Ver ficha publicada</v>
      </c>
    </row>
    <row r="283" spans="1:6" ht="28.95" customHeight="1" x14ac:dyDescent="0.3">
      <c r="A283" s="42" t="s">
        <v>207</v>
      </c>
      <c r="B283" s="42" t="str">
        <f>HYPERLINK("#'Contratos 2025'!A44","2024/PA/016")</f>
        <v>2024/PA/016</v>
      </c>
      <c r="C283" s="42" t="s">
        <v>206</v>
      </c>
      <c r="D283" s="44" t="s">
        <v>208</v>
      </c>
      <c r="E283" s="42" t="s">
        <v>209</v>
      </c>
      <c r="F283" s="42" t="str">
        <f>HYPERLINK("https://contrataciondelestado.es/wps/poc?uri=deeplink:detalle_licitacion&amp;idEvl=CjGX1QhaH7gzjChw4z%2FXvw%3D%3D","Ver ficha publicada")</f>
        <v>Ver ficha publicada</v>
      </c>
    </row>
    <row r="284" spans="1:6" ht="43.2" customHeight="1" x14ac:dyDescent="0.3">
      <c r="A284" s="42" t="s">
        <v>346</v>
      </c>
      <c r="B284" s="42" t="str">
        <f>HYPERLINK("#'Contratos 2025'!A78","2025/PA/015")</f>
        <v>2025/PA/015</v>
      </c>
      <c r="C284" s="42" t="s">
        <v>345</v>
      </c>
      <c r="D284" s="44" t="s">
        <v>347</v>
      </c>
      <c r="E284" s="42">
        <v>45890</v>
      </c>
      <c r="F284" s="42" t="str">
        <f>HYPERLINK("https://contrataciondelestado.es/wps/poc?uri=deeplink:detalle_licitacion&amp;idEvl=r5t6JkgbIcHIGlsa0Wad%2Bw%3D%3D","Ver ficha publicada")</f>
        <v>Ver ficha publicada</v>
      </c>
    </row>
    <row r="285" spans="1:6" ht="43.2" customHeight="1" x14ac:dyDescent="0.3">
      <c r="A285" s="42"/>
      <c r="B285" s="42" t="str">
        <f>HYPERLINK("#'Contratos 2025'!A143","2025/CB/043")</f>
        <v>2025/CB/043</v>
      </c>
      <c r="C285" s="42" t="s">
        <v>606</v>
      </c>
      <c r="D285" s="44">
        <v>12345.8</v>
      </c>
      <c r="E285" s="42">
        <v>45945</v>
      </c>
      <c r="F285" s="42" t="str">
        <f>HYPERLINK("https://contrataciondelestado.es/wps/poc?uri=deeplink:detalle_licitacion&amp;idEvl=1DIcc56cDT8aF6cS8TCh%2FA%3D%3D","Ver ficha publicada")</f>
        <v>Ver ficha publicada</v>
      </c>
    </row>
    <row r="286" spans="1:6" ht="43.2" customHeight="1" x14ac:dyDescent="0.3">
      <c r="A286" s="42"/>
      <c r="B286" s="42" t="str">
        <f>HYPERLINK("#'Contratos 2025'!A146","2025/CB/048")</f>
        <v>2025/CB/048</v>
      </c>
      <c r="C286" s="42" t="s">
        <v>617</v>
      </c>
      <c r="D286" s="44">
        <v>12345.8</v>
      </c>
      <c r="E286" s="42">
        <v>45973</v>
      </c>
      <c r="F286" s="42" t="str">
        <f>HYPERLINK("https://contrataciondelestado.es/wps/poc?uri=deeplink:detalle_licitacion&amp;idEvl=X8z7hL7CceNxseVhcqrkhw%3D%3D","Ver ficha publicada")</f>
        <v>Ver ficha publicada</v>
      </c>
    </row>
    <row r="287" spans="1:6" ht="43.2" customHeight="1" x14ac:dyDescent="0.3">
      <c r="A287" s="42" t="s">
        <v>922</v>
      </c>
      <c r="B287" s="42" t="str">
        <f>HYPERLINK("#'Contratos 2025'!A203","2024/PA/034 · Lote 3")</f>
        <v>2024/PA/034 · Lote 3</v>
      </c>
      <c r="C287" s="42" t="s">
        <v>835</v>
      </c>
      <c r="D287" s="44" t="s">
        <v>850</v>
      </c>
      <c r="E287" s="42" t="s">
        <v>843</v>
      </c>
      <c r="F287" s="42" t="str">
        <f>HYPERLINK("https://contrataciondelestado.es/wps/poc?uri=deeplink:detalle_licitacion&amp;idEvl=U%2FXKnY4zs0wZDGvgaZEVxQ%3D%3D","Ver ficha publicada")</f>
        <v>Ver ficha publicada</v>
      </c>
    </row>
    <row r="288" spans="1:6" x14ac:dyDescent="0.3">
      <c r="A288" s="42" t="s">
        <v>143</v>
      </c>
      <c r="B288" s="42" t="str">
        <f>HYPERLINK("#'Contratos 2025'!A28","2025/NSIN/001")</f>
        <v>2025/NSIN/001</v>
      </c>
      <c r="C288" s="42" t="s">
        <v>141</v>
      </c>
      <c r="D288" s="44" t="s">
        <v>144</v>
      </c>
      <c r="E288" s="42" t="s">
        <v>145</v>
      </c>
      <c r="F288" s="42" t="str">
        <f>HYPERLINK("https://contrataciondelestado.es/wps/poc?uri=deeplink:detalle_licitacion&amp;idEvl=0N1WxhexamseC9GJQOEBkQ%3D%3D","Ver ficha publicada")</f>
        <v>Ver ficha publicada</v>
      </c>
    </row>
    <row r="289" spans="1:6" ht="28.95" customHeight="1" x14ac:dyDescent="0.3">
      <c r="A289" s="42"/>
      <c r="B289" s="42" t="str">
        <f>HYPERLINK("#'Contratos 2025'!A41","2025/NSIN/012")</f>
        <v>2025/NSIN/012</v>
      </c>
      <c r="C289" s="42" t="s">
        <v>190</v>
      </c>
      <c r="D289" s="44">
        <v>24200</v>
      </c>
      <c r="E289" s="42">
        <v>45939</v>
      </c>
      <c r="F289" s="42" t="str">
        <f>HYPERLINK("https://contrataciondelestado.es/wps/poc?uri=deeplink:detalle_licitacion&amp;idEvl=Rzt7Wxmf1zPs%2BnLj3vAg5A%3D%3D","Ver ficha publicada")</f>
        <v>Ver ficha publicada</v>
      </c>
    </row>
    <row r="290" spans="1:6" x14ac:dyDescent="0.3">
      <c r="A290" s="42" t="s">
        <v>183</v>
      </c>
      <c r="B290" s="42" t="str">
        <f>HYPERLINK("#'Contratos 2025'!A39","2025/CB/050")</f>
        <v>2025/CB/050</v>
      </c>
      <c r="C290" s="42" t="s">
        <v>182</v>
      </c>
      <c r="D290" s="44">
        <v>149825.73000000001</v>
      </c>
      <c r="E290" s="42">
        <v>46014</v>
      </c>
      <c r="F290" s="42" t="str">
        <f>HYPERLINK("https://contrataciondelestado.es/wps/poc?uri=deeplink:detalle_licitacion&amp;idEvl=CzirvW5aAvsadbH3CysQuQ%3D%3D","Ver ficha publicada")</f>
        <v>Ver ficha publicada</v>
      </c>
    </row>
    <row r="291" spans="1:6" ht="43.2" customHeight="1" x14ac:dyDescent="0.3">
      <c r="A291" s="42" t="s">
        <v>717</v>
      </c>
      <c r="B291" s="42" t="str">
        <f>HYPERLINK("#'Contratos 2025'!A169","2025/PAS/013 · Lote 3")</f>
        <v>2025/PAS/013 · Lote 3</v>
      </c>
      <c r="C291" s="42" t="s">
        <v>716</v>
      </c>
      <c r="D291" s="44">
        <v>11082.5</v>
      </c>
      <c r="E291" s="42">
        <v>45993</v>
      </c>
      <c r="F291" s="42" t="str">
        <f>HYPERLINK("https://contrataciondelestado.es/wps/poc?uri=deeplink:detalle_licitacion&amp;idEvl=HPXx6l7cWJt%2FR5QFTlaM4A%3D%3D","Ver ficha publicada")</f>
        <v>Ver ficha publicada</v>
      </c>
    </row>
    <row r="292" spans="1:6" ht="57.6" customHeight="1" x14ac:dyDescent="0.3">
      <c r="A292" s="42" t="s">
        <v>714</v>
      </c>
      <c r="B292" s="42" t="str">
        <f>HYPERLINK("#'Contratos 2025'!A168","2025/PAS/013 · Lote 2")</f>
        <v>2025/PAS/013 · Lote 2</v>
      </c>
      <c r="C292" s="42" t="s">
        <v>713</v>
      </c>
      <c r="D292" s="44">
        <v>5655</v>
      </c>
      <c r="E292" s="42">
        <v>45989</v>
      </c>
      <c r="F292" s="42" t="str">
        <f>HYPERLINK("https://contrataciondelestado.es/wps/poc?uri=deeplink:detalle_licitacion&amp;idEvl=HPXx6l7cWJt%2FR5QFTlaM4A%3D%3D","Ver ficha publicada")</f>
        <v>Ver ficha publicada</v>
      </c>
    </row>
    <row r="293" spans="1:6" ht="28.95" customHeight="1" x14ac:dyDescent="0.3">
      <c r="A293" s="42" t="s">
        <v>674</v>
      </c>
      <c r="B293" s="42" t="str">
        <f>HYPERLINK("#'Contratos 2025'!A158","2025/PA/008")</f>
        <v>2025/PA/008</v>
      </c>
      <c r="C293" s="42" t="s">
        <v>673</v>
      </c>
      <c r="D293" s="44">
        <v>207400.07</v>
      </c>
      <c r="E293" s="42">
        <v>45888</v>
      </c>
      <c r="F293" s="42" t="str">
        <f>HYPERLINK("https://contrataciondelestado.es/wps/poc?uri=deeplink:detalle_licitacion&amp;idEvl=pfLaqAWN6fNVYjgxA4nMUw%3D%3D","Ver ficha publicada")</f>
        <v>Ver ficha publicada</v>
      </c>
    </row>
    <row r="294" spans="1:6" ht="28.95" customHeight="1" x14ac:dyDescent="0.3">
      <c r="A294" s="42" t="s">
        <v>255</v>
      </c>
      <c r="B294" s="42" t="str">
        <f>HYPERLINK("#'Contratos 2025'!A53","2024/PA/038 · Lote 3")</f>
        <v>2024/PA/038 · Lote 3</v>
      </c>
      <c r="C294" s="42" t="s">
        <v>254</v>
      </c>
      <c r="D294" s="44">
        <v>1790.8</v>
      </c>
      <c r="E294" s="42" t="s">
        <v>248</v>
      </c>
      <c r="F294" s="42" t="str">
        <f>HYPERLINK("https://contrataciondelestado.es/wps/poc?uri=deeplink:detalle_licitacion&amp;idEvl=bVsTj1ufNZSqb7rCcv76BA%3D%3D","Ver ficha publicada")</f>
        <v>Ver ficha publicada</v>
      </c>
    </row>
    <row r="295" spans="1:6" ht="43.2" customHeight="1" x14ac:dyDescent="0.3">
      <c r="A295" s="42" t="s">
        <v>830</v>
      </c>
      <c r="B295" s="42" t="str">
        <f>HYPERLINK("#'Contratos 2025'!A199","2024/PA/007 · Lote 2")</f>
        <v>2024/PA/007 · Lote 2</v>
      </c>
      <c r="C295" s="42" t="s">
        <v>827</v>
      </c>
      <c r="D295" s="44" t="s">
        <v>831</v>
      </c>
      <c r="E295" s="42" t="s">
        <v>832</v>
      </c>
      <c r="F295" s="42" t="str">
        <f>HYPERLINK("https://contrataciondelestado.es/wps/poc?uri=deeplink:detalle_licitacion&amp;idEvl=qOngDZ2bpXJPpzdqOdhuWg%3D%3D","Ver ficha publicada")</f>
        <v>Ver ficha publicada</v>
      </c>
    </row>
    <row r="296" spans="1:6" x14ac:dyDescent="0.3">
      <c r="A296" s="42" t="s">
        <v>149</v>
      </c>
      <c r="B296" s="42" t="str">
        <f>HYPERLINK("#'Contratos 2025'!A29","2025/NSIN/003")</f>
        <v>2025/NSIN/003</v>
      </c>
      <c r="C296" s="42" t="s">
        <v>148</v>
      </c>
      <c r="D296" s="44">
        <v>62920</v>
      </c>
      <c r="E296" s="42">
        <v>45827</v>
      </c>
      <c r="F296" s="42" t="str">
        <f>HYPERLINK("#'Contratos 2025'!A29","Ver detalle")</f>
        <v>Ver detalle</v>
      </c>
    </row>
    <row r="297" spans="1:6" ht="57.6" customHeight="1" x14ac:dyDescent="0.3">
      <c r="A297" s="42" t="s">
        <v>326</v>
      </c>
      <c r="B297" s="42" t="str">
        <f>HYPERLINK("#'Contratos 2025'!A72","2025/PA/011  · Lotes 1, 2, 3 y 4")</f>
        <v>2025/PA/011  · Lotes 1, 2, 3 y 4</v>
      </c>
      <c r="C297" s="42" t="s">
        <v>325</v>
      </c>
      <c r="D297" s="44" t="s">
        <v>327</v>
      </c>
      <c r="E297" s="42">
        <v>45839</v>
      </c>
      <c r="F297" s="42" t="str">
        <f>HYPERLINK("https://contrataciondelestado.es/wps/poc?uri=deeplink:detalle_licitacion&amp;idEvl=I2mu5NtILfHN3k3tjedSGw%3D%3D","Ver ficha publicada")</f>
        <v>Ver ficha publicada</v>
      </c>
    </row>
    <row r="298" spans="1:6" ht="57.6" customHeight="1" x14ac:dyDescent="0.3">
      <c r="A298" s="42" t="s">
        <v>930</v>
      </c>
      <c r="B298" s="42" t="str">
        <f>HYPERLINK("#'Contratos 2025'!A95","2025/PASA/004 · Lote 1")</f>
        <v>2025/PASA/004 · Lote 1</v>
      </c>
      <c r="C298" s="42" t="s">
        <v>416</v>
      </c>
      <c r="D298" s="44" t="s">
        <v>419</v>
      </c>
      <c r="E298" s="42" t="s">
        <v>420</v>
      </c>
      <c r="F298" s="42" t="str">
        <f>HYPERLINK("https://contrataciondelestado.es/wps/poc?uri=deeplink:detalle_licitacion&amp;idEvl=hlaslNpINo3yoM4us5k4vw%3D%3D","Ver ficha publicada")</f>
        <v>Ver ficha publicada</v>
      </c>
    </row>
    <row r="299" spans="1:6" ht="28.95" customHeight="1" x14ac:dyDescent="0.3">
      <c r="A299" s="42" t="s">
        <v>170</v>
      </c>
      <c r="B299" s="42" t="str">
        <f>HYPERLINK("#'Contratos 2025'!A35","2025/NSIN/009")</f>
        <v>2025/NSIN/009</v>
      </c>
      <c r="C299" s="42" t="s">
        <v>169</v>
      </c>
      <c r="D299" s="44">
        <v>95590</v>
      </c>
      <c r="E299" s="42">
        <v>45883</v>
      </c>
      <c r="F299" s="42" t="str">
        <f>HYPERLINK("https://contrataciondelestado.es/wps/poc?uri=deeplink:detalle_licitacion&amp;idEvl=8n%2BTFbHpt78ZDGvgaZEVxQ%3D%3D","Ver ficha publicada")</f>
        <v>Ver ficha publicada</v>
      </c>
    </row>
    <row r="300" spans="1:6" ht="28.95" customHeight="1" x14ac:dyDescent="0.3">
      <c r="A300" s="42"/>
      <c r="B300" s="42" t="str">
        <f>HYPERLINK("#'Contratos 2025'!A36","2025/NSIN/010")</f>
        <v>2025/NSIN/010</v>
      </c>
      <c r="C300" s="42" t="s">
        <v>173</v>
      </c>
      <c r="D300" s="44">
        <v>207515</v>
      </c>
      <c r="E300" s="42">
        <v>45883</v>
      </c>
      <c r="F300" s="42" t="str">
        <f>HYPERLINK("https://contrataciondelestado.es/wps/poc?uri=deeplink:detalle_licitacion&amp;idEvl=IXShjN47gVlxseVhcqrkhw%3D%3D","Ver ficha publicada")</f>
        <v>Ver ficha publicada</v>
      </c>
    </row>
    <row r="301" spans="1:6" ht="28.95" customHeight="1" x14ac:dyDescent="0.3">
      <c r="A301" s="42"/>
      <c r="B301" s="42" t="str">
        <f>HYPERLINK("#'Contratos 2025'!A37","2025/NSIN/011")</f>
        <v>2025/NSIN/011</v>
      </c>
      <c r="C301" s="42" t="s">
        <v>176</v>
      </c>
      <c r="D301" s="44">
        <v>127050</v>
      </c>
      <c r="E301" s="42">
        <v>45883</v>
      </c>
      <c r="F301" s="42" t="str">
        <f>HYPERLINK("https://contrataciondelestado.es/wps/poc?uri=deeplink:detalle_licitacion&amp;idEvl=Fxl%2FcpeNPyx9Zh%2FyRJgM8w%3D%3D","Ver ficha publicada")</f>
        <v>Ver ficha publicada</v>
      </c>
    </row>
    <row r="302" spans="1:6" ht="43.2" customHeight="1" x14ac:dyDescent="0.3">
      <c r="A302" s="42" t="s">
        <v>933</v>
      </c>
      <c r="B302" s="42" t="str">
        <f>HYPERLINK("#'Contratos 2025'!A91","2025/PAS/011")</f>
        <v>2025/PAS/011</v>
      </c>
      <c r="C302" s="42" t="s">
        <v>398</v>
      </c>
      <c r="D302" s="44">
        <v>35090</v>
      </c>
      <c r="E302" s="42">
        <v>45945</v>
      </c>
      <c r="F302" s="42" t="str">
        <f>HYPERLINK("https://contrataciondelestado.es/wps/poc?uri=deeplink:detalle_licitacion&amp;idEvl=dHSx6nNkrSjyoM4us5k4vw%3D%3D","Ver ficha publicada")</f>
        <v>Ver ficha publicada</v>
      </c>
    </row>
    <row r="303" spans="1:6" x14ac:dyDescent="0.3">
      <c r="A303" s="42" t="s">
        <v>105</v>
      </c>
      <c r="B303" s="42" t="str">
        <f>HYPERLINK("#'Contratos 2025'!A19","2024/CB/022")</f>
        <v>2024/CB/022</v>
      </c>
      <c r="C303" s="42" t="s">
        <v>98</v>
      </c>
      <c r="D303" s="44">
        <v>720014.33</v>
      </c>
      <c r="E303" s="42" t="s">
        <v>101</v>
      </c>
      <c r="F303" s="42" t="str">
        <f>HYPERLINK("https://contrataciondelestado.es/wps/poc?uri=deeplink:detalle_licitacion&amp;idEvl=wbJusmcjRHES7pcxhTeWOg%3D%3D","Ver ficha publicada")</f>
        <v>Ver ficha publicada</v>
      </c>
    </row>
    <row r="304" spans="1:6" x14ac:dyDescent="0.3">
      <c r="A304" s="42"/>
      <c r="B304" s="42" t="str">
        <f>HYPERLINK("#'Contratos 2025'!A20","2025/CB/027")</f>
        <v>2025/CB/027</v>
      </c>
      <c r="C304" s="42" t="s">
        <v>104</v>
      </c>
      <c r="D304" s="44">
        <v>803354.19</v>
      </c>
      <c r="E304" s="42">
        <v>45849</v>
      </c>
      <c r="F304" s="42" t="str">
        <f>HYPERLINK("https://contrataciondelestado.es/wps/poc?uri=deeplink:detalle_licitacion&amp;idEvl=1twr11aVF0jjHF5qKI4aaw%3D%3D","Ver ficha publicada")</f>
        <v>Ver ficha publicada</v>
      </c>
    </row>
    <row r="305" spans="1:6" ht="57.6" customHeight="1" x14ac:dyDescent="0.3">
      <c r="A305" s="42" t="s">
        <v>315</v>
      </c>
      <c r="B305" s="42" t="str">
        <f>HYPERLINK("#'Contratos 2025'!A69","2025/PA/007  · Lote 3")</f>
        <v>2025/PA/007  · Lote 3</v>
      </c>
      <c r="C305" s="42" t="s">
        <v>309</v>
      </c>
      <c r="D305" s="44">
        <v>124146.47</v>
      </c>
      <c r="E305" s="42">
        <v>45839</v>
      </c>
      <c r="F305" s="42" t="str">
        <f>HYPERLINK("#'Contratos 2025'!A69","Ver detalle")</f>
        <v>Ver detalle</v>
      </c>
    </row>
    <row r="306" spans="1:6" ht="57.6" customHeight="1" x14ac:dyDescent="0.3">
      <c r="A306" s="42"/>
      <c r="B306" s="42" t="str">
        <f>HYPERLINK("#'Contratos 2025'!A75","2025/PA/013  · Lote 3")</f>
        <v>2025/PA/013  · Lote 3</v>
      </c>
      <c r="C306" s="42" t="s">
        <v>330</v>
      </c>
      <c r="D306" s="44">
        <v>321860</v>
      </c>
      <c r="E306" s="42">
        <v>45889</v>
      </c>
      <c r="F306" s="42" t="str">
        <f>HYPERLINK("https://contrataciondelestado.es/wps/poc?uri=deeplink:detalle_licitacion&amp;idEvl=mI%2ByFW0hG5A36J9Lctlsuw%3D%3D","Ver ficha publicada")</f>
        <v>Ver ficha publicada</v>
      </c>
    </row>
    <row r="307" spans="1:6" ht="43.2" customHeight="1" x14ac:dyDescent="0.3">
      <c r="A307" s="42" t="s">
        <v>724</v>
      </c>
      <c r="B307" s="42" t="str">
        <f>HYPERLINK("#'Contratos 2025'!A171","2025/PAS/024 · LOTE 1")</f>
        <v>2025/PAS/024 · LOTE 1</v>
      </c>
      <c r="C307" s="42" t="s">
        <v>723</v>
      </c>
      <c r="D307" s="44">
        <v>16940</v>
      </c>
      <c r="E307" s="42">
        <v>45996</v>
      </c>
      <c r="F307" s="42" t="str">
        <f>HYPERLINK("https://contrataciondelestado.es/wps/poc?uri=deeplink:detalle_licitacion&amp;idEvl=Dmb2KBgWdRt4zIRvjBVCSw%3D%3D","Ver ficha publicada")</f>
        <v>Ver ficha publicada</v>
      </c>
    </row>
    <row r="308" spans="1:6" ht="28.95" customHeight="1" x14ac:dyDescent="0.3">
      <c r="A308" s="42" t="s">
        <v>465</v>
      </c>
      <c r="B308" s="42" t="str">
        <f>HYPERLINK("#'Contratos 2025'!A106","2025/CB/003")</f>
        <v>2025/CB/003</v>
      </c>
      <c r="C308" s="42" t="s">
        <v>464</v>
      </c>
      <c r="D308" s="44" t="s">
        <v>466</v>
      </c>
      <c r="E308" s="42" t="s">
        <v>467</v>
      </c>
      <c r="F308" s="42" t="str">
        <f>HYPERLINK("https://contrataciondelestado.es/wps/poc?uri=deeplink:detalle_licitacion&amp;idEvl=G7ykyDCNd7wIYE3ZiZ%2BxmQ%3D%3D","Ver ficha publicada")</f>
        <v>Ver ficha publicada</v>
      </c>
    </row>
    <row r="309" spans="1:6" ht="28.95" customHeight="1" x14ac:dyDescent="0.3">
      <c r="A309" s="42"/>
      <c r="B309" s="42" t="str">
        <f>HYPERLINK("#'Contratos 2025'!A107","2025/CB/004")</f>
        <v>2025/CB/004</v>
      </c>
      <c r="C309" s="42" t="s">
        <v>470</v>
      </c>
      <c r="D309" s="44" t="s">
        <v>472</v>
      </c>
      <c r="E309" s="42" t="s">
        <v>473</v>
      </c>
      <c r="F309" s="42" t="str">
        <f>HYPERLINK("https://contrataciondelestado.es/wps/poc?uri=deeplink:detalle_licitacion&amp;idEvl=v6XbKGlXitlPpzdqOdhuWg%3D%3D","Ver ficha publicada")</f>
        <v>Ver ficha publicada</v>
      </c>
    </row>
    <row r="310" spans="1:6" ht="28.95" customHeight="1" x14ac:dyDescent="0.3">
      <c r="A310" s="42"/>
      <c r="B310" s="42" t="str">
        <f>HYPERLINK("#'Contratos 2025'!A108","2025/CB/005")</f>
        <v>2025/CB/005</v>
      </c>
      <c r="C310" s="42" t="s">
        <v>476</v>
      </c>
      <c r="D310" s="44" t="s">
        <v>477</v>
      </c>
      <c r="E310" s="42" t="s">
        <v>467</v>
      </c>
      <c r="F310" s="42" t="str">
        <f>HYPERLINK("https://contrataciondelestado.es/wps/poc?uri=deeplink:detalle_licitacion&amp;idEvl=%2BNH4NE6V53OHCIsjvJ3rhQ%3D%3D","Ver ficha publicada")</f>
        <v>Ver ficha publicada</v>
      </c>
    </row>
    <row r="311" spans="1:6" ht="28.95" customHeight="1" x14ac:dyDescent="0.3">
      <c r="A311" s="42"/>
      <c r="B311" s="42" t="str">
        <f>HYPERLINK("#'Contratos 2025'!A109","2025/CB/006")</f>
        <v>2025/CB/006</v>
      </c>
      <c r="C311" s="42" t="s">
        <v>480</v>
      </c>
      <c r="D311" s="44" t="s">
        <v>481</v>
      </c>
      <c r="E311" s="42" t="s">
        <v>482</v>
      </c>
      <c r="F311" s="42" t="str">
        <f>HYPERLINK("https://contrataciondelestado.es/wps/poc?uri=deeplink:detalle_licitacion&amp;idEvl=iKrkt3MVjKgzjChw4z%2FXvw%3D%3D","Ver ficha publicada")</f>
        <v>Ver ficha publicada</v>
      </c>
    </row>
    <row r="312" spans="1:6" ht="28.95" customHeight="1" x14ac:dyDescent="0.3">
      <c r="A312" s="42"/>
      <c r="B312" s="42" t="str">
        <f>HYPERLINK("#'Contratos 2025'!A110","2025/CB/007")</f>
        <v>2025/CB/007</v>
      </c>
      <c r="C312" s="42" t="s">
        <v>485</v>
      </c>
      <c r="D312" s="44" t="s">
        <v>486</v>
      </c>
      <c r="E312" s="42" t="s">
        <v>272</v>
      </c>
      <c r="F312" s="42" t="str">
        <f>HYPERLINK("https://contrataciondelestado.es/wps/poc?uri=deeplink:detalle_licitacion&amp;idEvl=d0L7yGJ%2BZ4BrSd8H4b2soA%3D%3D","Ver ficha publicada")</f>
        <v>Ver ficha publicada</v>
      </c>
    </row>
    <row r="313" spans="1:6" x14ac:dyDescent="0.3">
      <c r="A313" s="42"/>
      <c r="B313" s="42" t="str">
        <f>HYPERLINK("#'Contratos 2025'!A111","2025/CB/008")</f>
        <v>2025/CB/008</v>
      </c>
      <c r="C313" s="42" t="s">
        <v>489</v>
      </c>
      <c r="D313" s="44" t="s">
        <v>490</v>
      </c>
      <c r="E313" s="42" t="s">
        <v>473</v>
      </c>
      <c r="F313" s="42" t="str">
        <f>HYPERLINK("https://contrataciondelestado.es/wps/poc?uri=deeplink:detalle_licitacion&amp;idEvl=%2FekwtX3N5Ti9Hd5zqvq9cg%3D%3D","Ver ficha publicada")</f>
        <v>Ver ficha publicada</v>
      </c>
    </row>
    <row r="314" spans="1:6" ht="28.95" customHeight="1" x14ac:dyDescent="0.3">
      <c r="A314" s="42"/>
      <c r="B314" s="42" t="str">
        <f>HYPERLINK("#'Contratos 2025'!A112","2025/CB/009")</f>
        <v>2025/CB/009</v>
      </c>
      <c r="C314" s="42" t="s">
        <v>493</v>
      </c>
      <c r="D314" s="44" t="s">
        <v>494</v>
      </c>
      <c r="E314" s="42" t="s">
        <v>467</v>
      </c>
      <c r="F314" s="42" t="str">
        <f>HYPERLINK("https://contrataciondelestado.es/wps/poc?uri=deeplink:detalle_licitacion&amp;idEvl=FLlsd2HIxM8eC9GJQOEBkQ%3D%3D","Ver ficha publicada")</f>
        <v>Ver ficha publicada</v>
      </c>
    </row>
    <row r="315" spans="1:6" x14ac:dyDescent="0.3">
      <c r="A315" s="42"/>
      <c r="B315" s="42" t="str">
        <f>HYPERLINK("#'Contratos 2025'!A115","2025/CB/012")</f>
        <v>2025/CB/012</v>
      </c>
      <c r="C315" s="42" t="s">
        <v>507</v>
      </c>
      <c r="D315" s="44" t="s">
        <v>509</v>
      </c>
      <c r="E315" s="42" t="s">
        <v>209</v>
      </c>
      <c r="F315" s="42" t="str">
        <f>HYPERLINK("https://contrataciondelestado.es/wps/poc?uri=deeplink:detalle_licitacion&amp;idEvl=hV3BL7R6vBfLIx6q1oPaMg%3D%3D","Ver ficha publicada")</f>
        <v>Ver ficha publicada</v>
      </c>
    </row>
    <row r="316" spans="1:6" ht="28.95" customHeight="1" x14ac:dyDescent="0.3">
      <c r="A316" s="42"/>
      <c r="B316" s="42" t="str">
        <f>HYPERLINK("#'Contratos 2025'!A116","2025/CB/013")</f>
        <v>2025/CB/013</v>
      </c>
      <c r="C316" s="42" t="s">
        <v>512</v>
      </c>
      <c r="D316" s="44" t="s">
        <v>513</v>
      </c>
      <c r="E316" s="42" t="s">
        <v>272</v>
      </c>
      <c r="F316" s="42" t="str">
        <f>HYPERLINK("https://contrataciondelestado.es/wps/poc?uri=deeplink:detalle_licitacion&amp;idEvl=1Lw9FGJujbWIzo3LHNPGcQ%3D%3D","Ver ficha publicada")</f>
        <v>Ver ficha publicada</v>
      </c>
    </row>
    <row r="317" spans="1:6" ht="28.95" customHeight="1" x14ac:dyDescent="0.3">
      <c r="A317" s="42"/>
      <c r="B317" s="42" t="str">
        <f>HYPERLINK("#'Contratos 2025'!A118","2025/CB/017")</f>
        <v>2025/CB/017</v>
      </c>
      <c r="C317" s="42" t="s">
        <v>520</v>
      </c>
      <c r="D317" s="44">
        <v>2981.43</v>
      </c>
      <c r="E317" s="42">
        <v>45849</v>
      </c>
      <c r="F317" s="42" t="str">
        <f>HYPERLINK("https://contrataciondelestado.es/wps/poc?uri=deeplink:detalle_licitacion&amp;idEvl=LfDHfsZIPevE6P%2FuLemXRw%3D%3D","Ver ficha publicada")</f>
        <v>Ver ficha publicada</v>
      </c>
    </row>
    <row r="318" spans="1:6" ht="28.95" customHeight="1" x14ac:dyDescent="0.3">
      <c r="A318" s="42"/>
      <c r="B318" s="42" t="str">
        <f>HYPERLINK("#'Contratos 2025'!A123","2025/CB/022")</f>
        <v>2025/CB/022</v>
      </c>
      <c r="C318" s="42" t="s">
        <v>540</v>
      </c>
      <c r="D318" s="44">
        <v>3193.78</v>
      </c>
      <c r="E318" s="42">
        <v>45848</v>
      </c>
      <c r="F318" s="42" t="str">
        <f>HYPERLINK("https://contrataciondelestado.es/wps/poc?uri=deeplink:detalle_licitacion&amp;idEvl=IcNzVfL0PzDyoM4us5k4vw%3D%3D","Ver ficha publicada")</f>
        <v>Ver ficha publicada</v>
      </c>
    </row>
    <row r="319" spans="1:6" ht="43.2" customHeight="1" x14ac:dyDescent="0.3">
      <c r="A319" s="42"/>
      <c r="B319" s="42" t="str">
        <f>HYPERLINK("#'Contratos 2025'!A126","2025/CB/025")</f>
        <v>2025/CB/025</v>
      </c>
      <c r="C319" s="42" t="s">
        <v>551</v>
      </c>
      <c r="D319" s="44">
        <v>2047.95</v>
      </c>
      <c r="E319" s="42">
        <v>45861</v>
      </c>
      <c r="F319" s="42" t="str">
        <f>HYPERLINK("https://contrataciondelestado.es/wps/poc?uri=deeplink:detalle_licitacion&amp;idEvl=bycCyVkTNoryoM4us5k4vw%3D%3D","Ver ficha publicada")</f>
        <v>Ver ficha publicada</v>
      </c>
    </row>
    <row r="320" spans="1:6" ht="43.2" customHeight="1" x14ac:dyDescent="0.3">
      <c r="A320" s="42"/>
      <c r="B320" s="42" t="str">
        <f>HYPERLINK("#'Contratos 2025'!A131","2025/CB/031")</f>
        <v>2025/CB/031</v>
      </c>
      <c r="C320" s="42" t="s">
        <v>567</v>
      </c>
      <c r="D320" s="44">
        <v>15597.72</v>
      </c>
      <c r="E320" s="42">
        <v>45876</v>
      </c>
      <c r="F320" s="42" t="str">
        <f>HYPERLINK("https://contrataciondelestado.es/wps/poc?uri=deeplink:detalle_licitacion&amp;idEvl=IpqEx1GIY8seIBJRHQiPkQ%3D%3D","Ver ficha publicada")</f>
        <v>Ver ficha publicada</v>
      </c>
    </row>
    <row r="321" spans="1:6" ht="28.95" customHeight="1" x14ac:dyDescent="0.3">
      <c r="A321" s="42" t="s">
        <v>91</v>
      </c>
      <c r="B321" s="42" t="str">
        <f>HYPERLINK("#'Contratos 2025'!A17","2025/PAS/009")</f>
        <v>2025/PAS/009</v>
      </c>
      <c r="C321" s="42" t="s">
        <v>90</v>
      </c>
      <c r="D321" s="44">
        <v>248948.56</v>
      </c>
      <c r="E321" s="42">
        <v>45859</v>
      </c>
      <c r="F321" s="42" t="str">
        <f>HYPERLINK("https://contrataciondelestado.es/wps/poc?uri=deeplink:detalle_licitacion&amp;idEvl=sbFBARXjTXF%2FR5QFTlaM4A%3D%3D","Ver ficha publicada")</f>
        <v>Ver ficha publicada</v>
      </c>
    </row>
    <row r="322" spans="1:6" x14ac:dyDescent="0.3">
      <c r="A322" s="42" t="s">
        <v>938</v>
      </c>
      <c r="B322" s="42" t="str">
        <f>HYPERLINK("#'Contratos 2025'!A71","2025/PA/010")</f>
        <v>2025/PA/010</v>
      </c>
      <c r="C322" s="42" t="s">
        <v>321</v>
      </c>
      <c r="D322" s="44">
        <v>176321.2</v>
      </c>
      <c r="E322" s="42">
        <v>45960</v>
      </c>
      <c r="F322" s="42" t="str">
        <f>HYPERLINK("https://contrataciondelestado.es/wps/poc?uri=deeplink:detalle_licitacion&amp;idEvl=uqnn%2BmT5sPPi0Kd8%2Brcp6w%3D%3D","Ver ficha publicada")</f>
        <v>Ver ficha publicada</v>
      </c>
    </row>
    <row r="323" spans="1:6" ht="28.95" customHeight="1" x14ac:dyDescent="0.3">
      <c r="A323" s="42" t="s">
        <v>159</v>
      </c>
      <c r="B323" s="42" t="str">
        <f>HYPERLINK("#'Contratos 2025'!A32","2025/NSIN/006")</f>
        <v>2025/NSIN/006</v>
      </c>
      <c r="C323" s="42" t="s">
        <v>158</v>
      </c>
      <c r="D323" s="44">
        <v>60500</v>
      </c>
      <c r="E323" s="42">
        <v>45883</v>
      </c>
      <c r="F323" s="42" t="str">
        <f>HYPERLINK("https://contrataciondelestado.es/wps/poc?uri=deeplink:detalle_licitacion&amp;idEvl=1ldQER2hZB1q1DdmE7eaXg%3D%3D","Ver ficha publicada")</f>
        <v>Ver ficha publicada</v>
      </c>
    </row>
    <row r="324" spans="1:6" ht="57.6" customHeight="1" x14ac:dyDescent="0.3">
      <c r="A324" s="42" t="s">
        <v>363</v>
      </c>
      <c r="B324" s="42" t="str">
        <f>HYPERLINK("#'Contratos 2025'!A82","2025/PA/022 · Lote 2")</f>
        <v>2025/PA/022 · Lote 2</v>
      </c>
      <c r="C324" s="42" t="s">
        <v>963</v>
      </c>
      <c r="D324" s="44">
        <v>8408.06</v>
      </c>
      <c r="E324" s="42">
        <v>46008</v>
      </c>
      <c r="F324" s="42" t="str">
        <f>HYPERLINK("https://contrataciondelestado.es/wps/poc?uri=deeplink:detalle_licitacion&amp;idEvl=PQ3bqda4fOi8ebB%2FXTwy0A%3D%3D","Ver ficha publicada")</f>
        <v>Ver ficha publicada</v>
      </c>
    </row>
    <row r="325" spans="1:6" ht="28.95" customHeight="1" x14ac:dyDescent="0.3">
      <c r="A325" s="42" t="s">
        <v>783</v>
      </c>
      <c r="B325" s="42" t="str">
        <f>HYPERLINK("#'Contratos 2025'!A186","2025/PASA/008 · Lote 1")</f>
        <v>2025/PASA/008 · Lote 1</v>
      </c>
      <c r="C325" s="42" t="s">
        <v>781</v>
      </c>
      <c r="D325" s="44">
        <v>3961.58</v>
      </c>
      <c r="E325" s="42">
        <v>45982</v>
      </c>
      <c r="F325" s="42" t="str">
        <f>HYPERLINK("https://contrataciondelestado.es/wps/poc?uri=deeplink:detalle_licitacion&amp;idEvl=9ivwec%2FyqvBLAIVZdUs8KA%3D%3D","Ver ficha publicada")</f>
        <v>Ver ficha publicada</v>
      </c>
    </row>
    <row r="326" spans="1:6" ht="28.95" customHeight="1" x14ac:dyDescent="0.3">
      <c r="A326" s="42" t="s">
        <v>629</v>
      </c>
      <c r="B326" s="42" t="str">
        <f>HYPERLINK("#'Contratos 2025'!A149","2024/PA/023")</f>
        <v>2024/PA/023</v>
      </c>
      <c r="C326" s="42" t="s">
        <v>628</v>
      </c>
      <c r="D326" s="44" t="s">
        <v>630</v>
      </c>
      <c r="E326" s="42" t="s">
        <v>631</v>
      </c>
      <c r="F326" s="42" t="str">
        <f>HYPERLINK("https://contrataciondelestado.es/wps/poc?uri=deeplink:detalle_licitacion&amp;idEvl=mW0Sks50v%2Fq7JOCXkOhcDg%3D%3D","Ver ficha publicada")</f>
        <v>Ver ficha publicada</v>
      </c>
    </row>
    <row r="327" spans="1:6" ht="43.2" customHeight="1" x14ac:dyDescent="0.3">
      <c r="A327" s="42" t="s">
        <v>941</v>
      </c>
      <c r="B327" s="42" t="str">
        <f>HYPERLINK("#'Contratos 2025'!A55","2024/PA/040")</f>
        <v>2024/PA/040</v>
      </c>
      <c r="C327" s="42" t="s">
        <v>261</v>
      </c>
      <c r="D327" s="44">
        <v>79197.289999999994</v>
      </c>
      <c r="E327" s="42">
        <v>45862</v>
      </c>
      <c r="F327" s="42" t="str">
        <f>HYPERLINK("https://contrataciondelestado.es/wps/poc?uri=deeplink:detalle_licitacion&amp;idEvl=WKw35pAbeYzXOjazN1Dw9Q%3D%3D","Ver ficha publicada")</f>
        <v>Ver ficha publicada</v>
      </c>
    </row>
    <row r="328" spans="1:6" ht="28.95" customHeight="1" x14ac:dyDescent="0.3">
      <c r="A328" s="42" t="s">
        <v>752</v>
      </c>
      <c r="B328" s="42" t="str">
        <f>HYPERLINK("#'Contratos 2025'!A178","2025/PASA/012 · Lote 1")</f>
        <v>2025/PASA/012 · Lote 1</v>
      </c>
      <c r="C328" s="42" t="s">
        <v>751</v>
      </c>
      <c r="D328" s="44">
        <v>19297.64</v>
      </c>
      <c r="E328" s="42">
        <v>45995</v>
      </c>
      <c r="F328" s="42" t="str">
        <f>HYPERLINK("https://contrataciondelestado.es/wps/poc?uri=deeplink:detalle_licitacion&amp;idEvl=HPbzJfQcrPFq1DdmE7eaXg%3D%3D","Ver ficha publicada")</f>
        <v>Ver ficha publicada</v>
      </c>
    </row>
    <row r="329" spans="1:6" ht="43.2" customHeight="1" x14ac:dyDescent="0.3">
      <c r="A329" s="42" t="s">
        <v>355</v>
      </c>
      <c r="B329" s="42" t="str">
        <f>HYPERLINK("#'Contratos 2025'!A80","2025/PA/018")</f>
        <v>2025/PA/018</v>
      </c>
      <c r="C329" s="42" t="s">
        <v>354</v>
      </c>
      <c r="D329" s="44">
        <v>255260.1</v>
      </c>
      <c r="E329" s="42">
        <v>45930</v>
      </c>
      <c r="F329" s="42" t="str">
        <f>HYPERLINK("https://contrataciondelestado.es/wps/poc?uri=deeplink:detalle_licitacion&amp;idEvl=0jPJqF3hCS07%2B9FIQYNjeQ%3D%3D","Ver ficha publicada")</f>
        <v>Ver ficha publicada</v>
      </c>
    </row>
    <row r="330" spans="1:6" ht="28.95" customHeight="1" x14ac:dyDescent="0.3">
      <c r="A330" s="42" t="s">
        <v>706</v>
      </c>
      <c r="B330" s="42" t="str">
        <f>HYPERLINK("#'Contratos 2025'!A166","2025/PAS/010 · Lote 2")</f>
        <v>2025/PAS/010 · Lote 2</v>
      </c>
      <c r="C330" s="42" t="s">
        <v>705</v>
      </c>
      <c r="D330" s="44">
        <v>19308.38</v>
      </c>
      <c r="E330" s="42">
        <v>45951</v>
      </c>
      <c r="F330" s="42" t="str">
        <f>HYPERLINK("https://contrataciondelestado.es/wps/poc?uri=deeplink:detalle_licitacion&amp;idEvl=VrilWrBCdmgwYTJJ03sHog%3D%3D","Ver ficha publicada")</f>
        <v>Ver ficha publicada</v>
      </c>
    </row>
    <row r="331" spans="1:6" ht="43.2" customHeight="1" x14ac:dyDescent="0.3">
      <c r="A331" s="42" t="s">
        <v>412</v>
      </c>
      <c r="B331" s="42" t="str">
        <f>HYPERLINK("#'Contratos 2025'!A94","2025/PASA/003 Lotes 1, 2 y 3")</f>
        <v>2025/PASA/003 Lotes 1, 2 y 3</v>
      </c>
      <c r="C331" s="42" t="s">
        <v>411</v>
      </c>
      <c r="D331" s="44" t="s">
        <v>413</v>
      </c>
      <c r="E331" s="42">
        <v>45905</v>
      </c>
      <c r="F331" s="42" t="str">
        <f>HYPERLINK("https://contrataciondelestado.es/wps/poc?uri=deeplink:detalle_licitacion&amp;idEvl=w7ptyRjXYA47u6%2B%2FR7DUoA%3D%3D","Ver ficha publicada")</f>
        <v>Ver ficha publicada</v>
      </c>
    </row>
    <row r="332" spans="1:6" ht="28.95" customHeight="1" x14ac:dyDescent="0.3">
      <c r="A332" s="42"/>
      <c r="B332" s="42" t="str">
        <f>HYPERLINK("#'Contratos 2025'!A177","2025/PASA/011")</f>
        <v>2025/PASA/011</v>
      </c>
      <c r="C332" s="42" t="s">
        <v>748</v>
      </c>
      <c r="D332" s="44">
        <v>4828.1499999999996</v>
      </c>
      <c r="E332" s="42">
        <v>45980</v>
      </c>
      <c r="F332" s="42" t="str">
        <f>HYPERLINK("https://contrataciondelestado.es/wps/poc?uri=deeplink:detalle_licitacion&amp;idEvl=xh6CfVy71Wa8ebB%2FXTwy0A%3D%3Dç","Ver ficha publicada")</f>
        <v>Ver ficha publicada</v>
      </c>
    </row>
    <row r="333" spans="1:6" ht="28.95" customHeight="1" x14ac:dyDescent="0.3">
      <c r="A333" s="42" t="s">
        <v>258</v>
      </c>
      <c r="B333" s="42" t="str">
        <f>HYPERLINK("#'Contratos 2025'!A54","2024/PA/039")</f>
        <v>2024/PA/039</v>
      </c>
      <c r="C333" s="42" t="s">
        <v>257</v>
      </c>
      <c r="D333" s="44">
        <v>143421.29999999999</v>
      </c>
      <c r="E333" s="42">
        <v>45876</v>
      </c>
      <c r="F333" s="42" t="str">
        <f>HYPERLINK("https://contrataciondelestado.es/wps/poc?uri=deeplink:detalle_licitacion&amp;idEvl=8FuSUq%2BREI8mMOlAXxDEjw%3D%3D","Ver ficha publicada")</f>
        <v>Ver ficha publicada</v>
      </c>
    </row>
    <row r="334" spans="1:6" ht="28.95" customHeight="1" x14ac:dyDescent="0.3">
      <c r="A334" s="42" t="s">
        <v>636</v>
      </c>
      <c r="B334" s="42" t="str">
        <f>HYPERLINK("#'Contratos 2025'!A150","2024/PA/025  · Lote 3")</f>
        <v>2024/PA/025  · Lote 3</v>
      </c>
      <c r="C334" s="42" t="s">
        <v>634</v>
      </c>
      <c r="D334" s="44" t="s">
        <v>637</v>
      </c>
      <c r="E334" s="42" t="s">
        <v>203</v>
      </c>
      <c r="F334" s="42" t="str">
        <f>HYPERLINK("#'Contratos 2025'!A150","Ver detalle")</f>
        <v>Ver detalle</v>
      </c>
    </row>
    <row r="335" spans="1:6" ht="43.2" customHeight="1" x14ac:dyDescent="0.3">
      <c r="A335" s="42" t="s">
        <v>648</v>
      </c>
      <c r="B335" s="42" t="str">
        <f>HYPERLINK("#'Contratos 2025'!A153","2024/PA/025  · Lotes 1, 2 y 6")</f>
        <v>2024/PA/025  · Lotes 1, 2 y 6</v>
      </c>
      <c r="C335" s="42" t="s">
        <v>647</v>
      </c>
      <c r="D335" s="44" t="s">
        <v>649</v>
      </c>
      <c r="E335" s="42" t="s">
        <v>203</v>
      </c>
      <c r="F335" s="42" t="str">
        <f>HYPERLINK("#'Contratos 2025'!A153","Ver detalle")</f>
        <v>Ver detalle</v>
      </c>
    </row>
    <row r="336" spans="1:6" ht="43.2" customHeight="1" x14ac:dyDescent="0.3">
      <c r="A336" s="42" t="s">
        <v>238</v>
      </c>
      <c r="B336" s="42" t="str">
        <f>HYPERLINK("#'Contratos 2025'!A49","2024/PA/035")</f>
        <v>2024/PA/035</v>
      </c>
      <c r="C336" s="42" t="s">
        <v>237</v>
      </c>
      <c r="D336" s="44" t="s">
        <v>239</v>
      </c>
      <c r="E336" s="42">
        <v>45798</v>
      </c>
      <c r="F336" s="42" t="str">
        <f>HYPERLINK("https://contrataciondelestado.es/wps/poc?uri=deeplink:detalle_licitacion&amp;idEvl=yMRG9KGuhSRLAIVZdUs8KA%3D%3D","Ver ficha publicada")</f>
        <v>Ver ficha publicada</v>
      </c>
    </row>
    <row r="337" spans="1:6" ht="28.95" customHeight="1" x14ac:dyDescent="0.3">
      <c r="A337" s="42" t="s">
        <v>56</v>
      </c>
      <c r="B337" s="42" t="str">
        <f>HYPERLINK("#'Contratos 2025'!A9","2023/PA/031")</f>
        <v>2023/PA/031</v>
      </c>
      <c r="C337" s="42" t="s">
        <v>53</v>
      </c>
      <c r="D337" s="44" t="s">
        <v>57</v>
      </c>
      <c r="E337" s="42" t="s">
        <v>58</v>
      </c>
      <c r="F337" s="42" t="str">
        <f>HYPERLINK("https://contrataciondelestado.es/wps/poc?uri=deeplink:detalle_licitacion&amp;idEvl=h%2F1R5t81LPl%2FR5QFTlaM4A%3D%3D","Ver ficha publicada")</f>
        <v>Ver ficha publicada</v>
      </c>
    </row>
    <row r="338" spans="1:6" ht="28.95" customHeight="1" x14ac:dyDescent="0.3">
      <c r="A338" s="42" t="s">
        <v>664</v>
      </c>
      <c r="B338" s="42" t="str">
        <f>HYPERLINK("#'Contratos 2025'!A156","2024/PA/036")</f>
        <v>2024/PA/036</v>
      </c>
      <c r="C338" s="42" t="s">
        <v>662</v>
      </c>
      <c r="D338" s="44" t="s">
        <v>665</v>
      </c>
      <c r="E338" s="42" t="s">
        <v>666</v>
      </c>
      <c r="F338" s="42" t="str">
        <f>HYPERLINK("https://contrataciondelestado.es/wps/poc?uri=deeplink:detalle_licitacion&amp;idEvl=VDK%2BEKhAHDicTfjQf3USOg%3D%3D","Ver ficha publicada")</f>
        <v>Ver ficha publicada</v>
      </c>
    </row>
    <row r="339" spans="1:6" ht="28.95" customHeight="1" x14ac:dyDescent="0.3">
      <c r="A339" s="42" t="s">
        <v>653</v>
      </c>
      <c r="B339" s="42" t="str">
        <f>HYPERLINK("#'Contratos 2025'!A154","2024/PA/027")</f>
        <v>2024/PA/027</v>
      </c>
      <c r="C339" s="42" t="s">
        <v>964</v>
      </c>
      <c r="D339" s="44" t="s">
        <v>654</v>
      </c>
      <c r="E339" s="42" t="s">
        <v>203</v>
      </c>
      <c r="F339" s="42" t="str">
        <f>HYPERLINK("https://contrataciondelestado.es/wps/poc?uri=deeplink:detalle_licitacion&amp;idEvl=j2XfMYOXAxo%2FbjW6njtWLw%3D%3D","Ver ficha publicada")</f>
        <v>Ver ficha publicada</v>
      </c>
    </row>
    <row r="340" spans="1:6" ht="43.2" customHeight="1" x14ac:dyDescent="0.3">
      <c r="A340" s="42" t="s">
        <v>947</v>
      </c>
      <c r="B340" s="42" t="str">
        <f>HYPERLINK("#'Contratos 2025'!A58","2025/PA/002")</f>
        <v>2025/PA/002</v>
      </c>
      <c r="C340" s="42" t="s">
        <v>275</v>
      </c>
      <c r="D340" s="44" t="s">
        <v>277</v>
      </c>
      <c r="E340" s="42" t="s">
        <v>278</v>
      </c>
      <c r="F340" s="42" t="str">
        <f>HYPERLINK("https://contrataciondelestado.es/wps/poc?uri=deeplink:detalle_licitacion&amp;idEvl=QMIRusSqybZxseVhcqrkhw%3D%3D","Ver ficha publicada")</f>
        <v>Ver ficha publicada</v>
      </c>
    </row>
    <row r="341" spans="1:6" ht="28.95" customHeight="1" x14ac:dyDescent="0.3">
      <c r="A341" s="42" t="s">
        <v>286</v>
      </c>
      <c r="B341" s="42" t="str">
        <f>HYPERLINK("#'Contratos 2025'!A60","2025/PA/006 · Lote 2")</f>
        <v>2025/PA/006 · Lote 2</v>
      </c>
      <c r="C341" s="42" t="s">
        <v>285</v>
      </c>
      <c r="D341" s="44">
        <v>6008.67</v>
      </c>
      <c r="E341" s="42">
        <v>45946</v>
      </c>
      <c r="F341" s="42" t="str">
        <f>HYPERLINK("https://contrataciondelestado.es/wps/poc?uri=deeplink:detalle_licitacion&amp;idEvl=kiFEiEBmh8pWhbmkna2nXQ%3D%3D","Ver ficha publicada")</f>
        <v>Ver ficha publicada</v>
      </c>
    </row>
    <row r="342" spans="1:6" ht="28.95" customHeight="1" x14ac:dyDescent="0.3">
      <c r="A342" s="42" t="s">
        <v>122</v>
      </c>
      <c r="B342" s="42" t="str">
        <f>HYPERLINK("#'Contratos 2025'!A24","2025/CB/051")</f>
        <v>2025/CB/051</v>
      </c>
      <c r="C342" s="42" t="s">
        <v>121</v>
      </c>
      <c r="D342" s="44">
        <v>4116.22</v>
      </c>
      <c r="E342" s="42">
        <v>46014</v>
      </c>
      <c r="F342" s="42" t="str">
        <f>HYPERLINK("https://contrataciondelestado.es/wps/poc?uri=deeplink:detalle_licitacion&amp;idEvl=BP7xei8OqkJLAIVZdUs8KA%3D%3D","Ver ficha publicada")</f>
        <v>Ver ficha publicada</v>
      </c>
    </row>
    <row r="343" spans="1:6" ht="28.95" customHeight="1" x14ac:dyDescent="0.3">
      <c r="A343" s="42" t="s">
        <v>63</v>
      </c>
      <c r="B343" s="42" t="str">
        <f>HYPERLINK("#'Contratos 2025'!A10","2025/PA/001")</f>
        <v>2025/PA/001</v>
      </c>
      <c r="C343" s="42" t="s">
        <v>61</v>
      </c>
      <c r="D343" s="44">
        <v>10977417.189999999</v>
      </c>
      <c r="E343" s="42">
        <v>45842</v>
      </c>
      <c r="F343" s="42" t="str">
        <f>HYPERLINK("https://contrataciondelestado.es/wps/poc?uri=deeplink:detalle_licitacion&amp;idEvl=sObfzxMm8S9%2FR5QFTlaM4A%3D%3D","Ver ficha publicada")</f>
        <v>Ver ficha publicada</v>
      </c>
    </row>
    <row r="344" spans="1:6" ht="43.2" customHeight="1" x14ac:dyDescent="0.3">
      <c r="A344" s="42" t="s">
        <v>949</v>
      </c>
      <c r="B344" s="42" t="str">
        <f>HYPERLINK("#'Contratos 2025'!A14","2025/PAS/004")</f>
        <v>2025/PAS/004</v>
      </c>
      <c r="C344" s="42" t="s">
        <v>78</v>
      </c>
      <c r="D344" s="44">
        <v>102942.26</v>
      </c>
      <c r="E344" s="42">
        <v>45856</v>
      </c>
      <c r="F344" s="42" t="str">
        <f>HYPERLINK("https://contrataciondelestado.es/wps/poc?uri=deeplink:detalle_licitacion&amp;idEvl=NXZDd4L1XpaOUi78BmzhOQ%3D%3D","Ver ficha publicada")</f>
        <v>Ver ficha publicada</v>
      </c>
    </row>
    <row r="345" spans="1:6" ht="43.2" customHeight="1" x14ac:dyDescent="0.3">
      <c r="A345" s="42" t="s">
        <v>686</v>
      </c>
      <c r="B345" s="42" t="str">
        <f>HYPERLINK("#'Contratos 2025'!A161","2025/PA/019  · Lote 3")</f>
        <v>2025/PA/019  · Lote 3</v>
      </c>
      <c r="C345" s="42" t="s">
        <v>685</v>
      </c>
      <c r="D345" s="44">
        <v>57354</v>
      </c>
      <c r="E345" s="42">
        <v>45973</v>
      </c>
      <c r="F345" s="42" t="str">
        <f>HYPERLINK("#'Contratos 2025'!A161","Ver detalle")</f>
        <v>Ver detalle</v>
      </c>
    </row>
    <row r="346" spans="1:6" x14ac:dyDescent="0.3">
      <c r="A346" s="42" t="s">
        <v>440</v>
      </c>
      <c r="B346" s="42" t="str">
        <f>HYPERLINK("#'Contratos 2025'!A100","2025/PASA/017")</f>
        <v>2025/PASA/017</v>
      </c>
      <c r="C346" s="42" t="s">
        <v>439</v>
      </c>
      <c r="D346" s="44">
        <v>28250.5</v>
      </c>
      <c r="E346" s="42">
        <v>45953</v>
      </c>
      <c r="F346" s="42" t="str">
        <f>HYPERLINK("https://contrataciondelestado.es/wps/poc?uri=deeplink:detalle_licitacion&amp;idEvl=PRdi8YUd7LdVq4S9zvaQpQ%3D%3D","Ver ficha publicada")</f>
        <v>Ver ficha publicada</v>
      </c>
    </row>
    <row r="347" spans="1:6" ht="43.2" customHeight="1" x14ac:dyDescent="0.3">
      <c r="A347" s="42" t="s">
        <v>33</v>
      </c>
      <c r="B347" s="42" t="str">
        <f>HYPERLINK("#'Contratos 2025'!A5","2024/PA/022")</f>
        <v>2024/PA/022</v>
      </c>
      <c r="C347" s="42" t="s">
        <v>31</v>
      </c>
      <c r="D347" s="44">
        <v>72405</v>
      </c>
      <c r="E347" s="42">
        <v>45828</v>
      </c>
      <c r="F347" s="42" t="str">
        <f>HYPERLINK("https://contrataciondelestado.es/wps/poc?uri=deeplink:detalle_licitacion&amp;idEvl=wSZRgiWf5Fs36J9Lctlsuw%3D%3D","Ver ficha publicada")</f>
        <v>Ver ficha publicada</v>
      </c>
    </row>
    <row r="348" spans="1:6" x14ac:dyDescent="0.3">
      <c r="A348" s="42"/>
      <c r="B348" s="42" t="str">
        <f>HYPERLINK("#'Contratos 2025'!A164","2025/PAS/005")</f>
        <v>2025/PAS/005</v>
      </c>
      <c r="C348" s="42" t="s">
        <v>697</v>
      </c>
      <c r="D348" s="44">
        <v>36178.32</v>
      </c>
      <c r="E348" s="42">
        <v>45882</v>
      </c>
      <c r="F348" s="42" t="str">
        <f>HYPERLINK("https://contrataciondelestado.es/wps/poc?uri=deeplink:detalle_licitacion&amp;idEvl=lWgEvmrzQJ%2BP%2Bo96UAV7cQ%3D%3D","Ver ficha publicada")</f>
        <v>Ver ficha publicada</v>
      </c>
    </row>
    <row r="349" spans="1:6" ht="28.95" customHeight="1" x14ac:dyDescent="0.3">
      <c r="A349" s="42" t="s">
        <v>195</v>
      </c>
      <c r="B349" s="42" t="str">
        <f>HYPERLINK("#'Contratos 2025'!A42","2025/NSIN/013")</f>
        <v>2025/NSIN/013</v>
      </c>
      <c r="C349" s="42" t="s">
        <v>194</v>
      </c>
      <c r="D349" s="44">
        <v>38115</v>
      </c>
      <c r="E349" s="42">
        <v>45939</v>
      </c>
      <c r="F349" s="42" t="str">
        <f>HYPERLINK("https://contrataciondelestado.es/wps/poc?uri=deeplink:detalle_licitacion&amp;idEvl=Ifg8wtuvDaItm4eBPtV6eQ%3D%3D","Ver ficha publicada")</f>
        <v>Ver ficha publicada</v>
      </c>
    </row>
    <row r="350" spans="1:6" ht="28.95" customHeight="1" x14ac:dyDescent="0.3">
      <c r="A350" s="42" t="s">
        <v>432</v>
      </c>
      <c r="B350" s="42" t="str">
        <f>HYPERLINK("#'Contratos 2025'!A98","2025/PASA/014")</f>
        <v>2025/PASA/014</v>
      </c>
      <c r="C350" s="42" t="s">
        <v>431</v>
      </c>
      <c r="D350" s="44">
        <v>28946.5</v>
      </c>
      <c r="E350" s="42">
        <v>45902</v>
      </c>
      <c r="F350" s="42" t="str">
        <f>HYPERLINK("https://contrataciondelestado.es/wps/poc?uri=deeplink:detalle_licitacion&amp;idEvl=aZWKuqjEQqkS7pcxhTeWOg%3D%3D","Ver ficha publicada")</f>
        <v>Ver ficha publicada</v>
      </c>
    </row>
    <row r="351" spans="1:6" ht="28.95" customHeight="1" x14ac:dyDescent="0.3">
      <c r="A351" s="42" t="s">
        <v>811</v>
      </c>
      <c r="B351" s="42" t="str">
        <f>HYPERLINK("#'Contratos 2025'!A193","2025/NSIN/019")</f>
        <v>2025/NSIN/019</v>
      </c>
      <c r="C351" s="42" t="s">
        <v>810</v>
      </c>
      <c r="D351" s="44">
        <v>187550</v>
      </c>
      <c r="E351" s="42">
        <v>46009</v>
      </c>
      <c r="F351" s="42" t="str">
        <f>HYPERLINK("https://contrataciondelestado.es/wps/poc?uri=deeplink:detalle_licitacion&amp;idEvl=7FZi4qvAn1HzAq95uGTrDQ%3D%3D","Ver ficha publicada")</f>
        <v>Ver ficha publicada</v>
      </c>
    </row>
    <row r="352" spans="1:6" ht="72" customHeight="1" x14ac:dyDescent="0.3">
      <c r="A352" s="42" t="s">
        <v>282</v>
      </c>
      <c r="B352" s="42" t="str">
        <f>HYPERLINK("#'Contratos 2025'!A59","2025/PA/003")</f>
        <v>2025/PA/003</v>
      </c>
      <c r="C352" s="42" t="s">
        <v>281</v>
      </c>
      <c r="D352" s="44">
        <v>217654.8</v>
      </c>
      <c r="E352" s="42">
        <v>45902</v>
      </c>
      <c r="F352" s="42" t="str">
        <f>HYPERLINK("https://contrataciondelestado.es/wps/poc?uri=deeplink:detalle_licitacion&amp;idEvl=awp1TSb5WvasNfRW6APEDw%3D%3D","Ver ficha publicada")</f>
        <v>Ver ficha publicada</v>
      </c>
    </row>
    <row r="353" spans="1:6" ht="43.2" customHeight="1" x14ac:dyDescent="0.3">
      <c r="A353" s="42" t="s">
        <v>394</v>
      </c>
      <c r="B353" s="42" t="str">
        <f>HYPERLINK("#'Contratos 2025'!A90","2024/PAS/005 · Lotes 1 y 2")</f>
        <v>2024/PAS/005 · Lotes 1 y 2</v>
      </c>
      <c r="C353" s="42" t="s">
        <v>393</v>
      </c>
      <c r="D353" s="44" t="s">
        <v>395</v>
      </c>
      <c r="E353" s="42" t="s">
        <v>396</v>
      </c>
      <c r="F353" s="42" t="str">
        <f>HYPERLINK("https://contrataciondelestado.es/wps/poc?uri=deeplink:detalle_licitacion&amp;idEvl=%2F1%2FO73WvsBAtm4eBPtV6eQ%3D%3D","Ver ficha publicada")</f>
        <v>Ver ficha publicada</v>
      </c>
    </row>
    <row r="354" spans="1:6" ht="115.2" customHeight="1" x14ac:dyDescent="0.3">
      <c r="A354" s="42" t="s">
        <v>586</v>
      </c>
      <c r="B354" s="42" t="str">
        <f>HYPERLINK("#'Contratos 2025'!A137","2025/CB/037")</f>
        <v>2025/CB/037</v>
      </c>
      <c r="C354" s="42" t="s">
        <v>585</v>
      </c>
      <c r="D354" s="44" t="s">
        <v>587</v>
      </c>
      <c r="E354" s="42">
        <v>45827</v>
      </c>
      <c r="F354" s="42" t="str">
        <f>HYPERLINK("https://contrataciondelestado.es/wps/poc?uri=deeplink:detalle_licitacion&amp;idEvl=O61p34v7ZLicTfjQf3USOg%3D%3D","Ver ficha publicada")</f>
        <v>Ver ficha publicada</v>
      </c>
    </row>
    <row r="355" spans="1:6" ht="28.95" customHeight="1" x14ac:dyDescent="0.3">
      <c r="A355" s="42" t="s">
        <v>118</v>
      </c>
      <c r="B355" s="42" t="str">
        <f>HYPERLINK("#'Contratos 2025'!A23","2025/CB/049")</f>
        <v>2025/CB/049</v>
      </c>
      <c r="C355" s="42" t="s">
        <v>117</v>
      </c>
      <c r="D355" s="44">
        <v>276420.46999999997</v>
      </c>
      <c r="E355" s="42">
        <v>45986</v>
      </c>
      <c r="F355" s="42" t="str">
        <f>HYPERLINK("https://contrataciondelestado.es/wps/poc?uri=deeplink:detalle_licitacion&amp;idEvl=Zk8XbNBzhQA2wEhQbcAqug%3D%3D","Ver ficha publicada")</f>
        <v>Ver ficha publicada</v>
      </c>
    </row>
    <row r="356" spans="1:6" x14ac:dyDescent="0.3">
      <c r="A356" s="42"/>
      <c r="B356" s="42" t="str">
        <f>HYPERLINK("#'Contratos 2025'!A25","2025/CB/053")</f>
        <v>2025/CB/053</v>
      </c>
      <c r="C356" s="42" t="s">
        <v>125</v>
      </c>
      <c r="D356" s="44">
        <v>49305</v>
      </c>
      <c r="E356" s="42">
        <v>46014</v>
      </c>
      <c r="F356" s="42" t="str">
        <f>HYPERLINK("https://contrataciondelestado.es/wps/poc?uri=deeplink:detalle_licitacion&amp;idEvl=pYScASzoXfVPpzdqOdhuWg%3D%3D","Ver ficha publicada")</f>
        <v>Ver ficha publicada</v>
      </c>
    </row>
  </sheetData>
  <mergeCells count="4">
    <mergeCell ref="A152:F152"/>
    <mergeCell ref="A2:F2"/>
    <mergeCell ref="A1:F1"/>
    <mergeCell ref="A150:F150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27"/>
  <sheetViews>
    <sheetView showGridLines="0" workbookViewId="0">
      <pane ySplit="13" topLeftCell="A239" activePane="bottomLeft" state="frozen"/>
      <selection pane="bottomLeft" sqref="A1:G1"/>
    </sheetView>
  </sheetViews>
  <sheetFormatPr baseColWidth="10" defaultColWidth="8.88671875" defaultRowHeight="14.4" x14ac:dyDescent="0.3"/>
  <cols>
    <col min="1" max="1" width="24" customWidth="1"/>
    <col min="2" max="2" width="65" customWidth="1"/>
    <col min="3" max="3" width="31" customWidth="1"/>
    <col min="4" max="5" width="16" customWidth="1"/>
    <col min="6" max="6" width="12" customWidth="1"/>
    <col min="7" max="7" width="17" customWidth="1"/>
  </cols>
  <sheetData>
    <row r="1" spans="1:7" ht="27.9" customHeight="1" x14ac:dyDescent="0.3">
      <c r="A1" s="67" t="s">
        <v>965</v>
      </c>
      <c r="B1" s="65"/>
      <c r="C1" s="65"/>
      <c r="D1" s="65"/>
      <c r="E1" s="65"/>
      <c r="F1" s="65"/>
      <c r="G1" s="65"/>
    </row>
    <row r="2" spans="1:7" x14ac:dyDescent="0.3">
      <c r="A2" s="72" t="s">
        <v>966</v>
      </c>
      <c r="B2" s="65"/>
      <c r="C2" s="65"/>
      <c r="D2" s="65"/>
      <c r="E2" s="65"/>
      <c r="F2" s="65"/>
      <c r="G2" s="65"/>
    </row>
    <row r="4" spans="1:7" x14ac:dyDescent="0.3">
      <c r="A4" s="61" t="s">
        <v>967</v>
      </c>
      <c r="C4" s="61" t="s">
        <v>968</v>
      </c>
      <c r="E4" s="73" t="s">
        <v>969</v>
      </c>
      <c r="F4" s="65"/>
      <c r="G4" s="65"/>
    </row>
    <row r="5" spans="1:7" x14ac:dyDescent="0.3">
      <c r="A5" s="71">
        <f>ROUND(AVERAGE(G14:G213),1)</f>
        <v>84.3</v>
      </c>
      <c r="B5" s="65"/>
      <c r="C5" s="70" t="s">
        <v>970</v>
      </c>
      <c r="D5" s="65"/>
      <c r="E5" s="68" t="s">
        <v>971</v>
      </c>
      <c r="F5" s="65"/>
      <c r="G5" s="65"/>
    </row>
    <row r="6" spans="1:7" x14ac:dyDescent="0.3">
      <c r="A6" s="65"/>
      <c r="B6" s="65"/>
      <c r="C6" s="65"/>
      <c r="D6" s="65"/>
      <c r="E6" s="65"/>
      <c r="F6" s="65"/>
      <c r="G6" s="65"/>
    </row>
    <row r="8" spans="1:7" x14ac:dyDescent="0.3">
      <c r="A8" s="64" t="s">
        <v>972</v>
      </c>
      <c r="B8" s="65"/>
      <c r="C8" s="65"/>
      <c r="D8" s="65"/>
      <c r="E8" s="65"/>
      <c r="F8" s="65"/>
      <c r="G8" s="65"/>
    </row>
    <row r="9" spans="1:7" ht="51.9" customHeight="1" x14ac:dyDescent="0.3">
      <c r="A9" s="66" t="s">
        <v>973</v>
      </c>
      <c r="B9" s="65"/>
      <c r="C9" s="65"/>
      <c r="D9" s="65"/>
      <c r="E9" s="65"/>
      <c r="F9" s="65"/>
      <c r="G9" s="65"/>
    </row>
    <row r="10" spans="1:7" x14ac:dyDescent="0.3">
      <c r="A10" s="65"/>
      <c r="B10" s="65"/>
      <c r="C10" s="65"/>
      <c r="D10" s="65"/>
      <c r="E10" s="65"/>
      <c r="F10" s="65"/>
      <c r="G10" s="65"/>
    </row>
    <row r="11" spans="1:7" x14ac:dyDescent="0.3">
      <c r="A11" s="65"/>
      <c r="B11" s="65"/>
      <c r="C11" s="65"/>
      <c r="D11" s="65"/>
      <c r="E11" s="65"/>
      <c r="F11" s="65"/>
      <c r="G11" s="65"/>
    </row>
    <row r="12" spans="1:7" x14ac:dyDescent="0.3">
      <c r="A12" s="69" t="s">
        <v>974</v>
      </c>
      <c r="B12" s="65"/>
      <c r="C12" s="65"/>
      <c r="D12" s="65"/>
      <c r="E12" s="65"/>
      <c r="F12" s="65"/>
      <c r="G12" s="65"/>
    </row>
    <row r="13" spans="1:7" x14ac:dyDescent="0.3">
      <c r="A13" s="62" t="s">
        <v>956</v>
      </c>
      <c r="B13" s="62" t="s">
        <v>1</v>
      </c>
      <c r="C13" s="62" t="s">
        <v>3</v>
      </c>
      <c r="D13" s="62" t="s">
        <v>975</v>
      </c>
      <c r="E13" s="62" t="s">
        <v>976</v>
      </c>
      <c r="F13" s="62" t="s">
        <v>977</v>
      </c>
      <c r="G13" s="62" t="s">
        <v>978</v>
      </c>
    </row>
    <row r="14" spans="1:7" ht="28.8" x14ac:dyDescent="0.3">
      <c r="A14" s="48" t="s">
        <v>11</v>
      </c>
      <c r="B14" s="49" t="s">
        <v>12</v>
      </c>
      <c r="C14" s="49" t="s">
        <v>14</v>
      </c>
      <c r="D14" s="50">
        <v>45630</v>
      </c>
      <c r="E14" s="50">
        <v>45768</v>
      </c>
      <c r="F14" s="51">
        <v>2</v>
      </c>
      <c r="G14" s="51">
        <f t="shared" ref="G14:G45" si="0">E14-D14</f>
        <v>138</v>
      </c>
    </row>
    <row r="15" spans="1:7" x14ac:dyDescent="0.3">
      <c r="A15" s="52" t="s">
        <v>20</v>
      </c>
      <c r="B15" s="42" t="s">
        <v>21</v>
      </c>
      <c r="C15" s="42" t="s">
        <v>14</v>
      </c>
      <c r="D15" s="53">
        <v>45896</v>
      </c>
      <c r="E15" s="53">
        <v>45975</v>
      </c>
      <c r="F15" s="54">
        <v>3</v>
      </c>
      <c r="G15" s="54">
        <f t="shared" si="0"/>
        <v>79</v>
      </c>
    </row>
    <row r="16" spans="1:7" ht="28.8" x14ac:dyDescent="0.3">
      <c r="A16" s="48" t="s">
        <v>24</v>
      </c>
      <c r="B16" s="49" t="s">
        <v>25</v>
      </c>
      <c r="C16" s="49" t="s">
        <v>27</v>
      </c>
      <c r="D16" s="50">
        <v>45798</v>
      </c>
      <c r="E16" s="50">
        <v>45881</v>
      </c>
      <c r="F16" s="51">
        <v>4</v>
      </c>
      <c r="G16" s="51">
        <f t="shared" si="0"/>
        <v>83</v>
      </c>
    </row>
    <row r="17" spans="1:7" ht="28.8" x14ac:dyDescent="0.3">
      <c r="A17" s="52" t="s">
        <v>30</v>
      </c>
      <c r="B17" s="42" t="s">
        <v>31</v>
      </c>
      <c r="C17" s="42" t="s">
        <v>14</v>
      </c>
      <c r="D17" s="53">
        <v>45518</v>
      </c>
      <c r="E17" s="53">
        <v>45828</v>
      </c>
      <c r="F17" s="54">
        <v>5</v>
      </c>
      <c r="G17" s="54">
        <f t="shared" si="0"/>
        <v>310</v>
      </c>
    </row>
    <row r="18" spans="1:7" ht="28.8" x14ac:dyDescent="0.3">
      <c r="A18" s="48" t="s">
        <v>35</v>
      </c>
      <c r="B18" s="49" t="s">
        <v>36</v>
      </c>
      <c r="C18" s="49" t="s">
        <v>37</v>
      </c>
      <c r="D18" s="50">
        <v>45826</v>
      </c>
      <c r="E18" s="50">
        <v>45965</v>
      </c>
      <c r="F18" s="51">
        <v>6</v>
      </c>
      <c r="G18" s="51">
        <f t="shared" si="0"/>
        <v>139</v>
      </c>
    </row>
    <row r="19" spans="1:7" ht="28.8" x14ac:dyDescent="0.3">
      <c r="A19" s="52" t="s">
        <v>40</v>
      </c>
      <c r="B19" s="42" t="s">
        <v>41</v>
      </c>
      <c r="C19" s="42" t="s">
        <v>27</v>
      </c>
      <c r="D19" s="53">
        <v>45714</v>
      </c>
      <c r="E19" s="53">
        <v>45758</v>
      </c>
      <c r="F19" s="54">
        <v>7</v>
      </c>
      <c r="G19" s="54">
        <f t="shared" si="0"/>
        <v>44</v>
      </c>
    </row>
    <row r="20" spans="1:7" x14ac:dyDescent="0.3">
      <c r="A20" s="48" t="s">
        <v>47</v>
      </c>
      <c r="B20" s="49" t="s">
        <v>48</v>
      </c>
      <c r="C20" s="49" t="s">
        <v>27</v>
      </c>
      <c r="D20" s="50">
        <v>45714</v>
      </c>
      <c r="E20" s="50">
        <v>45761</v>
      </c>
      <c r="F20" s="51">
        <v>8</v>
      </c>
      <c r="G20" s="51">
        <f t="shared" si="0"/>
        <v>47</v>
      </c>
    </row>
    <row r="21" spans="1:7" ht="28.8" x14ac:dyDescent="0.3">
      <c r="A21" s="52" t="s">
        <v>52</v>
      </c>
      <c r="B21" s="42" t="s">
        <v>53</v>
      </c>
      <c r="C21" s="42" t="s">
        <v>14</v>
      </c>
      <c r="D21" s="53">
        <v>45595</v>
      </c>
      <c r="E21" s="53">
        <v>45777</v>
      </c>
      <c r="F21" s="54">
        <v>9</v>
      </c>
      <c r="G21" s="54">
        <f t="shared" si="0"/>
        <v>182</v>
      </c>
    </row>
    <row r="22" spans="1:7" ht="28.8" x14ac:dyDescent="0.3">
      <c r="A22" s="48" t="s">
        <v>60</v>
      </c>
      <c r="B22" s="49" t="s">
        <v>61</v>
      </c>
      <c r="C22" s="49" t="s">
        <v>14</v>
      </c>
      <c r="D22" s="50">
        <v>45728</v>
      </c>
      <c r="E22" s="50">
        <v>45842</v>
      </c>
      <c r="F22" s="51">
        <v>10</v>
      </c>
      <c r="G22" s="51">
        <f t="shared" si="0"/>
        <v>114</v>
      </c>
    </row>
    <row r="23" spans="1:7" ht="28.8" x14ac:dyDescent="0.3">
      <c r="A23" s="52" t="s">
        <v>65</v>
      </c>
      <c r="B23" s="42" t="s">
        <v>66</v>
      </c>
      <c r="C23" s="42" t="s">
        <v>37</v>
      </c>
      <c r="D23" s="53">
        <v>45735</v>
      </c>
      <c r="E23" s="53">
        <v>45847</v>
      </c>
      <c r="F23" s="54">
        <v>11</v>
      </c>
      <c r="G23" s="54">
        <f t="shared" si="0"/>
        <v>112</v>
      </c>
    </row>
    <row r="24" spans="1:7" x14ac:dyDescent="0.3">
      <c r="A24" s="48" t="s">
        <v>69</v>
      </c>
      <c r="B24" s="49" t="s">
        <v>70</v>
      </c>
      <c r="C24" s="49" t="s">
        <v>37</v>
      </c>
      <c r="D24" s="50">
        <v>45742</v>
      </c>
      <c r="E24" s="50">
        <v>45853</v>
      </c>
      <c r="F24" s="51">
        <v>12</v>
      </c>
      <c r="G24" s="51">
        <f t="shared" si="0"/>
        <v>111</v>
      </c>
    </row>
    <row r="25" spans="1:7" ht="28.8" x14ac:dyDescent="0.3">
      <c r="A25" s="52" t="s">
        <v>73</v>
      </c>
      <c r="B25" s="42" t="s">
        <v>74</v>
      </c>
      <c r="C25" s="42" t="s">
        <v>37</v>
      </c>
      <c r="D25" s="53">
        <v>45742</v>
      </c>
      <c r="E25" s="53">
        <v>45855</v>
      </c>
      <c r="F25" s="54">
        <v>13</v>
      </c>
      <c r="G25" s="54">
        <f t="shared" si="0"/>
        <v>113</v>
      </c>
    </row>
    <row r="26" spans="1:7" ht="28.8" x14ac:dyDescent="0.3">
      <c r="A26" s="48" t="s">
        <v>77</v>
      </c>
      <c r="B26" s="49" t="s">
        <v>78</v>
      </c>
      <c r="C26" s="49" t="s">
        <v>37</v>
      </c>
      <c r="D26" s="50">
        <v>45742</v>
      </c>
      <c r="E26" s="50">
        <v>45856</v>
      </c>
      <c r="F26" s="51">
        <v>14</v>
      </c>
      <c r="G26" s="51">
        <f t="shared" si="0"/>
        <v>114</v>
      </c>
    </row>
    <row r="27" spans="1:7" x14ac:dyDescent="0.3">
      <c r="A27" s="52" t="s">
        <v>81</v>
      </c>
      <c r="B27" s="42" t="s">
        <v>82</v>
      </c>
      <c r="C27" s="42" t="s">
        <v>37</v>
      </c>
      <c r="D27" s="53">
        <v>45826</v>
      </c>
      <c r="E27" s="53">
        <v>45860</v>
      </c>
      <c r="F27" s="54">
        <v>15</v>
      </c>
      <c r="G27" s="54">
        <f t="shared" si="0"/>
        <v>34</v>
      </c>
    </row>
    <row r="28" spans="1:7" ht="28.8" x14ac:dyDescent="0.3">
      <c r="A28" s="48" t="s">
        <v>85</v>
      </c>
      <c r="B28" s="49" t="s">
        <v>86</v>
      </c>
      <c r="C28" s="49" t="s">
        <v>37</v>
      </c>
      <c r="D28" s="50">
        <v>45749</v>
      </c>
      <c r="E28" s="50">
        <v>45859</v>
      </c>
      <c r="F28" s="51">
        <v>16</v>
      </c>
      <c r="G28" s="51">
        <f t="shared" si="0"/>
        <v>110</v>
      </c>
    </row>
    <row r="29" spans="1:7" ht="28.8" x14ac:dyDescent="0.3">
      <c r="A29" s="52" t="s">
        <v>89</v>
      </c>
      <c r="B29" s="42" t="s">
        <v>90</v>
      </c>
      <c r="C29" s="42" t="s">
        <v>37</v>
      </c>
      <c r="D29" s="53">
        <v>45749</v>
      </c>
      <c r="E29" s="53">
        <v>45859</v>
      </c>
      <c r="F29" s="54">
        <v>17</v>
      </c>
      <c r="G29" s="54">
        <f t="shared" si="0"/>
        <v>110</v>
      </c>
    </row>
    <row r="30" spans="1:7" ht="28.8" x14ac:dyDescent="0.3">
      <c r="A30" s="48" t="s">
        <v>93</v>
      </c>
      <c r="B30" s="49" t="s">
        <v>94</v>
      </c>
      <c r="C30" s="49" t="s">
        <v>37</v>
      </c>
      <c r="D30" s="50">
        <v>45896</v>
      </c>
      <c r="E30" s="50">
        <v>45980</v>
      </c>
      <c r="F30" s="51">
        <v>18</v>
      </c>
      <c r="G30" s="51">
        <f t="shared" si="0"/>
        <v>84</v>
      </c>
    </row>
    <row r="31" spans="1:7" x14ac:dyDescent="0.3">
      <c r="A31" s="52" t="s">
        <v>97</v>
      </c>
      <c r="B31" s="42" t="s">
        <v>98</v>
      </c>
      <c r="C31" s="42" t="s">
        <v>99</v>
      </c>
      <c r="D31" s="53">
        <v>45693</v>
      </c>
      <c r="E31" s="53">
        <v>45709</v>
      </c>
      <c r="F31" s="54">
        <v>19</v>
      </c>
      <c r="G31" s="54">
        <f t="shared" si="0"/>
        <v>16</v>
      </c>
    </row>
    <row r="32" spans="1:7" x14ac:dyDescent="0.3">
      <c r="A32" s="48" t="s">
        <v>103</v>
      </c>
      <c r="B32" s="49" t="s">
        <v>104</v>
      </c>
      <c r="C32" s="49" t="s">
        <v>99</v>
      </c>
      <c r="D32" s="50">
        <v>45827</v>
      </c>
      <c r="E32" s="50">
        <v>45849</v>
      </c>
      <c r="F32" s="51">
        <v>20</v>
      </c>
      <c r="G32" s="51">
        <f t="shared" si="0"/>
        <v>22</v>
      </c>
    </row>
    <row r="33" spans="1:7" ht="43.2" x14ac:dyDescent="0.3">
      <c r="A33" s="52" t="s">
        <v>107</v>
      </c>
      <c r="B33" s="42" t="s">
        <v>108</v>
      </c>
      <c r="C33" s="42" t="s">
        <v>37</v>
      </c>
      <c r="D33" s="53">
        <v>45966</v>
      </c>
      <c r="E33" s="53">
        <v>46022</v>
      </c>
      <c r="F33" s="54">
        <v>21</v>
      </c>
      <c r="G33" s="54">
        <f t="shared" si="0"/>
        <v>56</v>
      </c>
    </row>
    <row r="34" spans="1:7" ht="43.2" x14ac:dyDescent="0.3">
      <c r="A34" s="48" t="s">
        <v>112</v>
      </c>
      <c r="B34" s="49" t="s">
        <v>113</v>
      </c>
      <c r="C34" s="49" t="s">
        <v>37</v>
      </c>
      <c r="D34" s="50">
        <v>45966</v>
      </c>
      <c r="E34" s="50">
        <v>46021</v>
      </c>
      <c r="F34" s="51">
        <v>22</v>
      </c>
      <c r="G34" s="51">
        <f t="shared" si="0"/>
        <v>55</v>
      </c>
    </row>
    <row r="35" spans="1:7" x14ac:dyDescent="0.3">
      <c r="A35" s="52" t="s">
        <v>116</v>
      </c>
      <c r="B35" s="42" t="s">
        <v>117</v>
      </c>
      <c r="C35" s="42" t="s">
        <v>99</v>
      </c>
      <c r="D35" s="53">
        <v>45986</v>
      </c>
      <c r="E35" s="53">
        <v>45986</v>
      </c>
      <c r="F35" s="54">
        <v>23</v>
      </c>
      <c r="G35" s="54">
        <f t="shared" si="0"/>
        <v>0</v>
      </c>
    </row>
    <row r="36" spans="1:7" x14ac:dyDescent="0.3">
      <c r="A36" s="48" t="s">
        <v>120</v>
      </c>
      <c r="B36" s="49" t="s">
        <v>121</v>
      </c>
      <c r="C36" s="49" t="s">
        <v>99</v>
      </c>
      <c r="D36" s="50">
        <v>46014</v>
      </c>
      <c r="E36" s="50">
        <v>46014</v>
      </c>
      <c r="F36" s="51">
        <v>24</v>
      </c>
      <c r="G36" s="51">
        <f t="shared" si="0"/>
        <v>0</v>
      </c>
    </row>
    <row r="37" spans="1:7" x14ac:dyDescent="0.3">
      <c r="A37" s="52" t="s">
        <v>124</v>
      </c>
      <c r="B37" s="42" t="s">
        <v>125</v>
      </c>
      <c r="C37" s="42" t="s">
        <v>99</v>
      </c>
      <c r="D37" s="53">
        <v>46014</v>
      </c>
      <c r="E37" s="53">
        <v>46014</v>
      </c>
      <c r="F37" s="54">
        <v>25</v>
      </c>
      <c r="G37" s="54">
        <f t="shared" si="0"/>
        <v>0</v>
      </c>
    </row>
    <row r="38" spans="1:7" ht="28.8" x14ac:dyDescent="0.3">
      <c r="A38" s="48" t="s">
        <v>132</v>
      </c>
      <c r="B38" s="49" t="s">
        <v>133</v>
      </c>
      <c r="C38" s="49" t="s">
        <v>134</v>
      </c>
      <c r="D38" s="50">
        <v>45637</v>
      </c>
      <c r="E38" s="50">
        <v>45659</v>
      </c>
      <c r="F38" s="51">
        <v>27</v>
      </c>
      <c r="G38" s="51">
        <f t="shared" si="0"/>
        <v>22</v>
      </c>
    </row>
    <row r="39" spans="1:7" x14ac:dyDescent="0.3">
      <c r="A39" s="52" t="s">
        <v>140</v>
      </c>
      <c r="B39" s="42" t="s">
        <v>141</v>
      </c>
      <c r="C39" s="42" t="s">
        <v>134</v>
      </c>
      <c r="D39" s="53">
        <v>45700</v>
      </c>
      <c r="E39" s="53">
        <v>45715</v>
      </c>
      <c r="F39" s="54">
        <v>28</v>
      </c>
      <c r="G39" s="54">
        <f t="shared" si="0"/>
        <v>15</v>
      </c>
    </row>
    <row r="40" spans="1:7" x14ac:dyDescent="0.3">
      <c r="A40" s="48" t="s">
        <v>147</v>
      </c>
      <c r="B40" s="49" t="s">
        <v>148</v>
      </c>
      <c r="C40" s="49" t="s">
        <v>134</v>
      </c>
      <c r="D40" s="50">
        <v>45812</v>
      </c>
      <c r="E40" s="50">
        <v>45827</v>
      </c>
      <c r="F40" s="51">
        <v>29</v>
      </c>
      <c r="G40" s="51">
        <f t="shared" si="0"/>
        <v>15</v>
      </c>
    </row>
    <row r="41" spans="1:7" ht="43.2" x14ac:dyDescent="0.3">
      <c r="A41" s="52" t="s">
        <v>150</v>
      </c>
      <c r="B41" s="42" t="s">
        <v>151</v>
      </c>
      <c r="C41" s="42" t="s">
        <v>134</v>
      </c>
      <c r="D41" s="53">
        <v>45826</v>
      </c>
      <c r="E41" s="53">
        <v>45849</v>
      </c>
      <c r="F41" s="54">
        <v>30</v>
      </c>
      <c r="G41" s="54">
        <f t="shared" si="0"/>
        <v>23</v>
      </c>
    </row>
    <row r="42" spans="1:7" ht="28.8" x14ac:dyDescent="0.3">
      <c r="A42" s="48" t="s">
        <v>154</v>
      </c>
      <c r="B42" s="49" t="s">
        <v>155</v>
      </c>
      <c r="C42" s="49" t="s">
        <v>134</v>
      </c>
      <c r="D42" s="50">
        <v>45826</v>
      </c>
      <c r="E42" s="50">
        <v>45849</v>
      </c>
      <c r="F42" s="51">
        <v>31</v>
      </c>
      <c r="G42" s="51">
        <f t="shared" si="0"/>
        <v>23</v>
      </c>
    </row>
    <row r="43" spans="1:7" ht="28.8" x14ac:dyDescent="0.3">
      <c r="A43" s="52" t="s">
        <v>157</v>
      </c>
      <c r="B43" s="42" t="s">
        <v>158</v>
      </c>
      <c r="C43" s="42" t="s">
        <v>134</v>
      </c>
      <c r="D43" s="53">
        <v>45866</v>
      </c>
      <c r="E43" s="53">
        <v>45883</v>
      </c>
      <c r="F43" s="54">
        <v>32</v>
      </c>
      <c r="G43" s="54">
        <f t="shared" si="0"/>
        <v>17</v>
      </c>
    </row>
    <row r="44" spans="1:7" ht="43.2" x14ac:dyDescent="0.3">
      <c r="A44" s="48" t="s">
        <v>161</v>
      </c>
      <c r="B44" s="49" t="s">
        <v>162</v>
      </c>
      <c r="C44" s="49" t="s">
        <v>134</v>
      </c>
      <c r="D44" s="50">
        <v>45861</v>
      </c>
      <c r="E44" s="50">
        <v>45883</v>
      </c>
      <c r="F44" s="51">
        <v>33</v>
      </c>
      <c r="G44" s="51">
        <f t="shared" si="0"/>
        <v>22</v>
      </c>
    </row>
    <row r="45" spans="1:7" ht="43.2" x14ac:dyDescent="0.3">
      <c r="A45" s="52" t="s">
        <v>164</v>
      </c>
      <c r="B45" s="42" t="s">
        <v>165</v>
      </c>
      <c r="C45" s="42" t="s">
        <v>134</v>
      </c>
      <c r="D45" s="53">
        <v>45866</v>
      </c>
      <c r="E45" s="53">
        <v>45883</v>
      </c>
      <c r="F45" s="54">
        <v>34</v>
      </c>
      <c r="G45" s="54">
        <f t="shared" si="0"/>
        <v>17</v>
      </c>
    </row>
    <row r="46" spans="1:7" ht="28.8" x14ac:dyDescent="0.3">
      <c r="A46" s="48" t="s">
        <v>168</v>
      </c>
      <c r="B46" s="49" t="s">
        <v>169</v>
      </c>
      <c r="C46" s="49" t="s">
        <v>134</v>
      </c>
      <c r="D46" s="50">
        <v>45866</v>
      </c>
      <c r="E46" s="50">
        <v>45883</v>
      </c>
      <c r="F46" s="51">
        <v>35</v>
      </c>
      <c r="G46" s="51">
        <f t="shared" ref="G46:G77" si="1">E46-D46</f>
        <v>17</v>
      </c>
    </row>
    <row r="47" spans="1:7" ht="28.8" x14ac:dyDescent="0.3">
      <c r="A47" s="52" t="s">
        <v>172</v>
      </c>
      <c r="B47" s="42" t="s">
        <v>173</v>
      </c>
      <c r="C47" s="42" t="s">
        <v>134</v>
      </c>
      <c r="D47" s="53">
        <v>45866</v>
      </c>
      <c r="E47" s="53">
        <v>45883</v>
      </c>
      <c r="F47" s="54">
        <v>36</v>
      </c>
      <c r="G47" s="54">
        <f t="shared" si="1"/>
        <v>17</v>
      </c>
    </row>
    <row r="48" spans="1:7" ht="28.8" x14ac:dyDescent="0.3">
      <c r="A48" s="48" t="s">
        <v>175</v>
      </c>
      <c r="B48" s="49" t="s">
        <v>176</v>
      </c>
      <c r="C48" s="49" t="s">
        <v>134</v>
      </c>
      <c r="D48" s="50">
        <v>45866</v>
      </c>
      <c r="E48" s="50">
        <v>45883</v>
      </c>
      <c r="F48" s="51">
        <v>37</v>
      </c>
      <c r="G48" s="51">
        <f t="shared" si="1"/>
        <v>17</v>
      </c>
    </row>
    <row r="49" spans="1:7" ht="28.8" x14ac:dyDescent="0.3">
      <c r="A49" s="52" t="s">
        <v>178</v>
      </c>
      <c r="B49" s="42" t="s">
        <v>179</v>
      </c>
      <c r="C49" s="42" t="s">
        <v>134</v>
      </c>
      <c r="D49" s="53">
        <v>46001</v>
      </c>
      <c r="E49" s="53">
        <v>46010</v>
      </c>
      <c r="F49" s="54">
        <v>38</v>
      </c>
      <c r="G49" s="54">
        <f t="shared" si="1"/>
        <v>9</v>
      </c>
    </row>
    <row r="50" spans="1:7" x14ac:dyDescent="0.3">
      <c r="A50" s="48" t="s">
        <v>181</v>
      </c>
      <c r="B50" s="49" t="s">
        <v>182</v>
      </c>
      <c r="C50" s="49" t="s">
        <v>109</v>
      </c>
      <c r="D50" s="50">
        <v>46014</v>
      </c>
      <c r="E50" s="50">
        <v>46014</v>
      </c>
      <c r="F50" s="51">
        <v>39</v>
      </c>
      <c r="G50" s="51">
        <f t="shared" si="1"/>
        <v>0</v>
      </c>
    </row>
    <row r="51" spans="1:7" ht="28.8" x14ac:dyDescent="0.3">
      <c r="A51" s="52" t="s">
        <v>185</v>
      </c>
      <c r="B51" s="42" t="s">
        <v>186</v>
      </c>
      <c r="C51" s="42" t="s">
        <v>109</v>
      </c>
      <c r="D51" s="53">
        <v>46014</v>
      </c>
      <c r="E51" s="53">
        <v>46014</v>
      </c>
      <c r="F51" s="54">
        <v>40</v>
      </c>
      <c r="G51" s="54">
        <f t="shared" si="1"/>
        <v>0</v>
      </c>
    </row>
    <row r="52" spans="1:7" ht="28.8" x14ac:dyDescent="0.3">
      <c r="A52" s="48" t="s">
        <v>189</v>
      </c>
      <c r="B52" s="49" t="s">
        <v>190</v>
      </c>
      <c r="C52" s="49" t="s">
        <v>109</v>
      </c>
      <c r="D52" s="50">
        <v>45931</v>
      </c>
      <c r="E52" s="50">
        <v>45939</v>
      </c>
      <c r="F52" s="51">
        <v>41</v>
      </c>
      <c r="G52" s="51">
        <f t="shared" si="1"/>
        <v>8</v>
      </c>
    </row>
    <row r="53" spans="1:7" ht="28.8" x14ac:dyDescent="0.3">
      <c r="A53" s="52" t="s">
        <v>193</v>
      </c>
      <c r="B53" s="42" t="s">
        <v>194</v>
      </c>
      <c r="C53" s="42" t="s">
        <v>109</v>
      </c>
      <c r="D53" s="53">
        <v>45931</v>
      </c>
      <c r="E53" s="53">
        <v>45939</v>
      </c>
      <c r="F53" s="54">
        <v>42</v>
      </c>
      <c r="G53" s="54">
        <f t="shared" si="1"/>
        <v>8</v>
      </c>
    </row>
    <row r="54" spans="1:7" x14ac:dyDescent="0.3">
      <c r="A54" s="48" t="s">
        <v>197</v>
      </c>
      <c r="B54" s="49" t="s">
        <v>198</v>
      </c>
      <c r="C54" s="49" t="s">
        <v>14</v>
      </c>
      <c r="D54" s="50">
        <v>45434</v>
      </c>
      <c r="E54" s="50">
        <v>45660</v>
      </c>
      <c r="F54" s="51">
        <v>43</v>
      </c>
      <c r="G54" s="51">
        <f t="shared" si="1"/>
        <v>226</v>
      </c>
    </row>
    <row r="55" spans="1:7" ht="28.8" x14ac:dyDescent="0.3">
      <c r="A55" s="52" t="s">
        <v>205</v>
      </c>
      <c r="B55" s="42" t="s">
        <v>206</v>
      </c>
      <c r="C55" s="42" t="s">
        <v>14</v>
      </c>
      <c r="D55" s="53">
        <v>45714</v>
      </c>
      <c r="E55" s="53">
        <v>45818</v>
      </c>
      <c r="F55" s="54">
        <v>44</v>
      </c>
      <c r="G55" s="54">
        <f t="shared" si="1"/>
        <v>104</v>
      </c>
    </row>
    <row r="56" spans="1:7" ht="28.8" x14ac:dyDescent="0.3">
      <c r="A56" s="48" t="s">
        <v>211</v>
      </c>
      <c r="B56" s="49" t="s">
        <v>212</v>
      </c>
      <c r="C56" s="49" t="s">
        <v>14</v>
      </c>
      <c r="D56" s="50">
        <v>45497</v>
      </c>
      <c r="E56" s="50">
        <v>45685</v>
      </c>
      <c r="F56" s="51">
        <v>45</v>
      </c>
      <c r="G56" s="51">
        <f t="shared" si="1"/>
        <v>188</v>
      </c>
    </row>
    <row r="57" spans="1:7" ht="28.8" x14ac:dyDescent="0.3">
      <c r="A57" s="52" t="s">
        <v>218</v>
      </c>
      <c r="B57" s="42" t="s">
        <v>219</v>
      </c>
      <c r="C57" s="42" t="s">
        <v>14</v>
      </c>
      <c r="D57" s="53">
        <v>45546</v>
      </c>
      <c r="E57" s="53">
        <v>45708</v>
      </c>
      <c r="F57" s="54">
        <v>46</v>
      </c>
      <c r="G57" s="54">
        <f t="shared" si="1"/>
        <v>162</v>
      </c>
    </row>
    <row r="58" spans="1:7" ht="57.6" x14ac:dyDescent="0.3">
      <c r="A58" s="48" t="s">
        <v>225</v>
      </c>
      <c r="B58" s="49" t="s">
        <v>226</v>
      </c>
      <c r="C58" s="49" t="s">
        <v>14</v>
      </c>
      <c r="D58" s="50">
        <v>45581</v>
      </c>
      <c r="E58" s="50">
        <v>45705</v>
      </c>
      <c r="F58" s="51">
        <v>47</v>
      </c>
      <c r="G58" s="51">
        <f t="shared" si="1"/>
        <v>124</v>
      </c>
    </row>
    <row r="59" spans="1:7" ht="28.8" x14ac:dyDescent="0.3">
      <c r="A59" s="52" t="s">
        <v>232</v>
      </c>
      <c r="B59" s="42" t="s">
        <v>233</v>
      </c>
      <c r="C59" s="42" t="s">
        <v>14</v>
      </c>
      <c r="D59" s="53">
        <v>45805</v>
      </c>
      <c r="E59" s="53">
        <v>45936</v>
      </c>
      <c r="F59" s="54">
        <v>48</v>
      </c>
      <c r="G59" s="54">
        <f t="shared" si="1"/>
        <v>131</v>
      </c>
    </row>
    <row r="60" spans="1:7" ht="43.2" x14ac:dyDescent="0.3">
      <c r="A60" s="48" t="s">
        <v>236</v>
      </c>
      <c r="B60" s="49" t="s">
        <v>237</v>
      </c>
      <c r="C60" s="49" t="s">
        <v>14</v>
      </c>
      <c r="D60" s="50">
        <v>45630</v>
      </c>
      <c r="E60" s="50">
        <v>45798</v>
      </c>
      <c r="F60" s="51">
        <v>49</v>
      </c>
      <c r="G60" s="51">
        <f t="shared" si="1"/>
        <v>168</v>
      </c>
    </row>
    <row r="61" spans="1:7" x14ac:dyDescent="0.3">
      <c r="A61" s="52" t="s">
        <v>241</v>
      </c>
      <c r="B61" s="42" t="s">
        <v>242</v>
      </c>
      <c r="C61" s="42" t="s">
        <v>14</v>
      </c>
      <c r="D61" s="53">
        <v>45700</v>
      </c>
      <c r="E61" s="53">
        <v>45827</v>
      </c>
      <c r="F61" s="54">
        <v>50</v>
      </c>
      <c r="G61" s="54">
        <f t="shared" si="1"/>
        <v>127</v>
      </c>
    </row>
    <row r="62" spans="1:7" ht="28.8" x14ac:dyDescent="0.3">
      <c r="A62" s="48" t="s">
        <v>245</v>
      </c>
      <c r="B62" s="49" t="s">
        <v>246</v>
      </c>
      <c r="C62" s="49" t="s">
        <v>14</v>
      </c>
      <c r="D62" s="50">
        <v>45630</v>
      </c>
      <c r="E62" s="50">
        <v>45786</v>
      </c>
      <c r="F62" s="51">
        <v>51</v>
      </c>
      <c r="G62" s="51">
        <f t="shared" si="1"/>
        <v>156</v>
      </c>
    </row>
    <row r="63" spans="1:7" ht="28.8" x14ac:dyDescent="0.3">
      <c r="A63" s="52" t="s">
        <v>250</v>
      </c>
      <c r="B63" s="42" t="s">
        <v>251</v>
      </c>
      <c r="C63" s="42" t="s">
        <v>14</v>
      </c>
      <c r="D63" s="53">
        <v>45630</v>
      </c>
      <c r="E63" s="53">
        <v>45786</v>
      </c>
      <c r="F63" s="54">
        <v>52</v>
      </c>
      <c r="G63" s="54">
        <f t="shared" si="1"/>
        <v>156</v>
      </c>
    </row>
    <row r="64" spans="1:7" ht="28.8" x14ac:dyDescent="0.3">
      <c r="A64" s="48" t="s">
        <v>253</v>
      </c>
      <c r="B64" s="49" t="s">
        <v>254</v>
      </c>
      <c r="C64" s="49" t="s">
        <v>14</v>
      </c>
      <c r="D64" s="50">
        <v>45630</v>
      </c>
      <c r="E64" s="50">
        <v>45786</v>
      </c>
      <c r="F64" s="51">
        <v>53</v>
      </c>
      <c r="G64" s="51">
        <f t="shared" si="1"/>
        <v>156</v>
      </c>
    </row>
    <row r="65" spans="1:7" ht="28.8" x14ac:dyDescent="0.3">
      <c r="A65" s="52" t="s">
        <v>256</v>
      </c>
      <c r="B65" s="42" t="s">
        <v>257</v>
      </c>
      <c r="C65" s="42" t="s">
        <v>14</v>
      </c>
      <c r="D65" s="53">
        <v>45728</v>
      </c>
      <c r="E65" s="53">
        <v>45876</v>
      </c>
      <c r="F65" s="54">
        <v>54</v>
      </c>
      <c r="G65" s="54">
        <f t="shared" si="1"/>
        <v>148</v>
      </c>
    </row>
    <row r="66" spans="1:7" ht="43.2" x14ac:dyDescent="0.3">
      <c r="A66" s="48" t="s">
        <v>260</v>
      </c>
      <c r="B66" s="49" t="s">
        <v>261</v>
      </c>
      <c r="C66" s="49" t="s">
        <v>14</v>
      </c>
      <c r="D66" s="50">
        <v>45749</v>
      </c>
      <c r="E66" s="50">
        <v>45862</v>
      </c>
      <c r="F66" s="51">
        <v>55</v>
      </c>
      <c r="G66" s="51">
        <f t="shared" si="1"/>
        <v>113</v>
      </c>
    </row>
    <row r="67" spans="1:7" ht="28.8" x14ac:dyDescent="0.3">
      <c r="A67" s="52" t="s">
        <v>264</v>
      </c>
      <c r="B67" s="42" t="s">
        <v>265</v>
      </c>
      <c r="C67" s="42" t="s">
        <v>14</v>
      </c>
      <c r="D67" s="53">
        <v>45782</v>
      </c>
      <c r="E67" s="53">
        <v>45888</v>
      </c>
      <c r="F67" s="54">
        <v>56</v>
      </c>
      <c r="G67" s="54">
        <f t="shared" si="1"/>
        <v>106</v>
      </c>
    </row>
    <row r="68" spans="1:7" ht="28.8" x14ac:dyDescent="0.3">
      <c r="A68" s="48" t="s">
        <v>268</v>
      </c>
      <c r="B68" s="49" t="s">
        <v>269</v>
      </c>
      <c r="C68" s="49" t="s">
        <v>14</v>
      </c>
      <c r="D68" s="50">
        <v>45735</v>
      </c>
      <c r="E68" s="50">
        <v>45806</v>
      </c>
      <c r="F68" s="51">
        <v>57</v>
      </c>
      <c r="G68" s="51">
        <f t="shared" si="1"/>
        <v>71</v>
      </c>
    </row>
    <row r="69" spans="1:7" ht="43.2" x14ac:dyDescent="0.3">
      <c r="A69" s="52" t="s">
        <v>274</v>
      </c>
      <c r="B69" s="42" t="s">
        <v>275</v>
      </c>
      <c r="C69" s="42" t="s">
        <v>14</v>
      </c>
      <c r="D69" s="53">
        <v>45735</v>
      </c>
      <c r="E69" s="53">
        <v>45813</v>
      </c>
      <c r="F69" s="54">
        <v>58</v>
      </c>
      <c r="G69" s="54">
        <f t="shared" si="1"/>
        <v>78</v>
      </c>
    </row>
    <row r="70" spans="1:7" ht="72" x14ac:dyDescent="0.3">
      <c r="A70" s="48" t="s">
        <v>280</v>
      </c>
      <c r="B70" s="49" t="s">
        <v>281</v>
      </c>
      <c r="C70" s="49" t="s">
        <v>14</v>
      </c>
      <c r="D70" s="50">
        <v>45798</v>
      </c>
      <c r="E70" s="50">
        <v>45902</v>
      </c>
      <c r="F70" s="51">
        <v>59</v>
      </c>
      <c r="G70" s="51">
        <f t="shared" si="1"/>
        <v>104</v>
      </c>
    </row>
    <row r="71" spans="1:7" ht="28.8" x14ac:dyDescent="0.3">
      <c r="A71" s="52" t="s">
        <v>284</v>
      </c>
      <c r="B71" s="42" t="s">
        <v>285</v>
      </c>
      <c r="C71" s="42" t="s">
        <v>14</v>
      </c>
      <c r="D71" s="53">
        <v>45763</v>
      </c>
      <c r="E71" s="53">
        <v>45946</v>
      </c>
      <c r="F71" s="54">
        <v>60</v>
      </c>
      <c r="G71" s="54">
        <f t="shared" si="1"/>
        <v>183</v>
      </c>
    </row>
    <row r="72" spans="1:7" ht="28.8" x14ac:dyDescent="0.3">
      <c r="A72" s="48" t="s">
        <v>288</v>
      </c>
      <c r="B72" s="49" t="s">
        <v>289</v>
      </c>
      <c r="C72" s="49" t="s">
        <v>14</v>
      </c>
      <c r="D72" s="50">
        <v>45763</v>
      </c>
      <c r="E72" s="50">
        <v>45946</v>
      </c>
      <c r="F72" s="51">
        <v>61</v>
      </c>
      <c r="G72" s="51">
        <f t="shared" si="1"/>
        <v>183</v>
      </c>
    </row>
    <row r="73" spans="1:7" ht="28.8" x14ac:dyDescent="0.3">
      <c r="A73" s="52" t="s">
        <v>291</v>
      </c>
      <c r="B73" s="42" t="s">
        <v>292</v>
      </c>
      <c r="C73" s="42" t="s">
        <v>14</v>
      </c>
      <c r="D73" s="53">
        <v>45763</v>
      </c>
      <c r="E73" s="53">
        <v>45946</v>
      </c>
      <c r="F73" s="54">
        <v>62</v>
      </c>
      <c r="G73" s="54">
        <f t="shared" si="1"/>
        <v>183</v>
      </c>
    </row>
    <row r="74" spans="1:7" ht="43.2" x14ac:dyDescent="0.3">
      <c r="A74" s="48" t="s">
        <v>294</v>
      </c>
      <c r="B74" s="49" t="s">
        <v>295</v>
      </c>
      <c r="C74" s="49" t="s">
        <v>14</v>
      </c>
      <c r="D74" s="50">
        <v>45763</v>
      </c>
      <c r="E74" s="50">
        <v>45946</v>
      </c>
      <c r="F74" s="51">
        <v>63</v>
      </c>
      <c r="G74" s="51">
        <f t="shared" si="1"/>
        <v>183</v>
      </c>
    </row>
    <row r="75" spans="1:7" ht="28.8" x14ac:dyDescent="0.3">
      <c r="A75" s="52" t="s">
        <v>302</v>
      </c>
      <c r="B75" s="42" t="s">
        <v>303</v>
      </c>
      <c r="C75" s="42" t="s">
        <v>14</v>
      </c>
      <c r="D75" s="53">
        <v>45763</v>
      </c>
      <c r="E75" s="53">
        <v>45950</v>
      </c>
      <c r="F75" s="54">
        <v>65</v>
      </c>
      <c r="G75" s="54">
        <f t="shared" si="1"/>
        <v>187</v>
      </c>
    </row>
    <row r="76" spans="1:7" ht="28.8" x14ac:dyDescent="0.3">
      <c r="A76" s="48" t="s">
        <v>305</v>
      </c>
      <c r="B76" s="49" t="s">
        <v>306</v>
      </c>
      <c r="C76" s="49" t="s">
        <v>14</v>
      </c>
      <c r="D76" s="50">
        <v>45763</v>
      </c>
      <c r="E76" s="50">
        <v>45951</v>
      </c>
      <c r="F76" s="51">
        <v>66</v>
      </c>
      <c r="G76" s="51">
        <f t="shared" si="1"/>
        <v>188</v>
      </c>
    </row>
    <row r="77" spans="1:7" ht="43.2" x14ac:dyDescent="0.3">
      <c r="A77" s="52" t="s">
        <v>308</v>
      </c>
      <c r="B77" s="42" t="s">
        <v>309</v>
      </c>
      <c r="C77" s="42" t="s">
        <v>14</v>
      </c>
      <c r="D77" s="53">
        <v>45742</v>
      </c>
      <c r="E77" s="53">
        <v>45839</v>
      </c>
      <c r="F77" s="54">
        <v>67</v>
      </c>
      <c r="G77" s="54">
        <f t="shared" si="1"/>
        <v>97</v>
      </c>
    </row>
    <row r="78" spans="1:7" ht="43.2" x14ac:dyDescent="0.3">
      <c r="A78" s="48" t="s">
        <v>312</v>
      </c>
      <c r="B78" s="49" t="s">
        <v>309</v>
      </c>
      <c r="C78" s="49" t="s">
        <v>14</v>
      </c>
      <c r="D78" s="50">
        <v>45742</v>
      </c>
      <c r="E78" s="50">
        <v>45839</v>
      </c>
      <c r="F78" s="51">
        <v>68</v>
      </c>
      <c r="G78" s="51">
        <f t="shared" ref="G78:G109" si="2">E78-D78</f>
        <v>97</v>
      </c>
    </row>
    <row r="79" spans="1:7" ht="43.2" x14ac:dyDescent="0.3">
      <c r="A79" s="52" t="s">
        <v>314</v>
      </c>
      <c r="B79" s="42" t="s">
        <v>309</v>
      </c>
      <c r="C79" s="42" t="s">
        <v>14</v>
      </c>
      <c r="D79" s="53">
        <v>45742</v>
      </c>
      <c r="E79" s="53">
        <v>45839</v>
      </c>
      <c r="F79" s="54">
        <v>69</v>
      </c>
      <c r="G79" s="54">
        <f t="shared" si="2"/>
        <v>97</v>
      </c>
    </row>
    <row r="80" spans="1:7" ht="28.8" x14ac:dyDescent="0.3">
      <c r="A80" s="48" t="s">
        <v>316</v>
      </c>
      <c r="B80" s="49" t="s">
        <v>317</v>
      </c>
      <c r="C80" s="49" t="s">
        <v>14</v>
      </c>
      <c r="D80" s="50">
        <v>45805</v>
      </c>
      <c r="E80" s="50">
        <v>45925</v>
      </c>
      <c r="F80" s="51">
        <v>70</v>
      </c>
      <c r="G80" s="51">
        <f t="shared" si="2"/>
        <v>120</v>
      </c>
    </row>
    <row r="81" spans="1:7" x14ac:dyDescent="0.3">
      <c r="A81" s="52" t="s">
        <v>320</v>
      </c>
      <c r="B81" s="42" t="s">
        <v>321</v>
      </c>
      <c r="C81" s="42" t="s">
        <v>14</v>
      </c>
      <c r="D81" s="53">
        <v>45812</v>
      </c>
      <c r="E81" s="53">
        <v>45960</v>
      </c>
      <c r="F81" s="54">
        <v>71</v>
      </c>
      <c r="G81" s="54">
        <f t="shared" si="2"/>
        <v>148</v>
      </c>
    </row>
    <row r="82" spans="1:7" ht="57.6" x14ac:dyDescent="0.3">
      <c r="A82" s="48" t="s">
        <v>324</v>
      </c>
      <c r="B82" s="49" t="s">
        <v>325</v>
      </c>
      <c r="C82" s="49" t="s">
        <v>14</v>
      </c>
      <c r="D82" s="50">
        <v>45749</v>
      </c>
      <c r="E82" s="50">
        <v>45839</v>
      </c>
      <c r="F82" s="51">
        <v>72</v>
      </c>
      <c r="G82" s="51">
        <f t="shared" si="2"/>
        <v>90</v>
      </c>
    </row>
    <row r="83" spans="1:7" ht="43.2" x14ac:dyDescent="0.3">
      <c r="A83" s="52" t="s">
        <v>329</v>
      </c>
      <c r="B83" s="42" t="s">
        <v>330</v>
      </c>
      <c r="C83" s="42" t="s">
        <v>14</v>
      </c>
      <c r="D83" s="53">
        <v>45798</v>
      </c>
      <c r="E83" s="53">
        <v>45889</v>
      </c>
      <c r="F83" s="54">
        <v>73</v>
      </c>
      <c r="G83" s="54">
        <f t="shared" si="2"/>
        <v>91</v>
      </c>
    </row>
    <row r="84" spans="1:7" ht="43.2" x14ac:dyDescent="0.3">
      <c r="A84" s="48" t="s">
        <v>333</v>
      </c>
      <c r="B84" s="49" t="s">
        <v>330</v>
      </c>
      <c r="C84" s="49" t="s">
        <v>14</v>
      </c>
      <c r="D84" s="50">
        <v>45798</v>
      </c>
      <c r="E84" s="50">
        <v>45889</v>
      </c>
      <c r="F84" s="51">
        <v>74</v>
      </c>
      <c r="G84" s="51">
        <f t="shared" si="2"/>
        <v>91</v>
      </c>
    </row>
    <row r="85" spans="1:7" ht="43.2" x14ac:dyDescent="0.3">
      <c r="A85" s="52" t="s">
        <v>335</v>
      </c>
      <c r="B85" s="42" t="s">
        <v>330</v>
      </c>
      <c r="C85" s="42" t="s">
        <v>14</v>
      </c>
      <c r="D85" s="53">
        <v>45798</v>
      </c>
      <c r="E85" s="53">
        <v>45889</v>
      </c>
      <c r="F85" s="54">
        <v>75</v>
      </c>
      <c r="G85" s="54">
        <f t="shared" si="2"/>
        <v>91</v>
      </c>
    </row>
    <row r="86" spans="1:7" ht="28.8" x14ac:dyDescent="0.3">
      <c r="A86" s="48" t="s">
        <v>337</v>
      </c>
      <c r="B86" s="49" t="s">
        <v>338</v>
      </c>
      <c r="C86" s="49" t="s">
        <v>14</v>
      </c>
      <c r="D86" s="50">
        <v>45826</v>
      </c>
      <c r="E86" s="50">
        <v>45958</v>
      </c>
      <c r="F86" s="51">
        <v>76</v>
      </c>
      <c r="G86" s="51">
        <f t="shared" si="2"/>
        <v>132</v>
      </c>
    </row>
    <row r="87" spans="1:7" ht="28.8" x14ac:dyDescent="0.3">
      <c r="A87" s="52" t="s">
        <v>341</v>
      </c>
      <c r="B87" s="42" t="s">
        <v>338</v>
      </c>
      <c r="C87" s="42" t="s">
        <v>14</v>
      </c>
      <c r="D87" s="53">
        <v>45826</v>
      </c>
      <c r="E87" s="53">
        <v>45959</v>
      </c>
      <c r="F87" s="54">
        <v>77</v>
      </c>
      <c r="G87" s="54">
        <f t="shared" si="2"/>
        <v>133</v>
      </c>
    </row>
    <row r="88" spans="1:7" ht="43.2" x14ac:dyDescent="0.3">
      <c r="A88" s="48" t="s">
        <v>344</v>
      </c>
      <c r="B88" s="49" t="s">
        <v>345</v>
      </c>
      <c r="C88" s="49" t="s">
        <v>14</v>
      </c>
      <c r="D88" s="50">
        <v>45791</v>
      </c>
      <c r="E88" s="50">
        <v>45890</v>
      </c>
      <c r="F88" s="51">
        <v>78</v>
      </c>
      <c r="G88" s="51">
        <f t="shared" si="2"/>
        <v>99</v>
      </c>
    </row>
    <row r="89" spans="1:7" ht="57.6" x14ac:dyDescent="0.3">
      <c r="A89" s="52" t="s">
        <v>349</v>
      </c>
      <c r="B89" s="42" t="s">
        <v>350</v>
      </c>
      <c r="C89" s="42" t="s">
        <v>14</v>
      </c>
      <c r="D89" s="53">
        <v>45853</v>
      </c>
      <c r="E89" s="53">
        <v>45929</v>
      </c>
      <c r="F89" s="54">
        <v>79</v>
      </c>
      <c r="G89" s="54">
        <f t="shared" si="2"/>
        <v>76</v>
      </c>
    </row>
    <row r="90" spans="1:7" ht="28.8" x14ac:dyDescent="0.3">
      <c r="A90" s="48" t="s">
        <v>353</v>
      </c>
      <c r="B90" s="49" t="s">
        <v>354</v>
      </c>
      <c r="C90" s="49" t="s">
        <v>14</v>
      </c>
      <c r="D90" s="50">
        <v>45819</v>
      </c>
      <c r="E90" s="50">
        <v>45930</v>
      </c>
      <c r="F90" s="51">
        <v>80</v>
      </c>
      <c r="G90" s="51">
        <f t="shared" si="2"/>
        <v>111</v>
      </c>
    </row>
    <row r="91" spans="1:7" ht="57.6" x14ac:dyDescent="0.3">
      <c r="A91" s="52" t="s">
        <v>357</v>
      </c>
      <c r="B91" s="42" t="s">
        <v>358</v>
      </c>
      <c r="C91" s="42" t="s">
        <v>14</v>
      </c>
      <c r="D91" s="53">
        <v>45875</v>
      </c>
      <c r="E91" s="53">
        <v>46008</v>
      </c>
      <c r="F91" s="54">
        <v>81</v>
      </c>
      <c r="G91" s="54">
        <f t="shared" si="2"/>
        <v>133</v>
      </c>
    </row>
    <row r="92" spans="1:7" ht="57.6" x14ac:dyDescent="0.3">
      <c r="A92" s="48" t="s">
        <v>361</v>
      </c>
      <c r="B92" s="49" t="s">
        <v>362</v>
      </c>
      <c r="C92" s="49" t="s">
        <v>14</v>
      </c>
      <c r="D92" s="50">
        <v>45875</v>
      </c>
      <c r="E92" s="50">
        <v>46008</v>
      </c>
      <c r="F92" s="51">
        <v>82</v>
      </c>
      <c r="G92" s="51">
        <f t="shared" si="2"/>
        <v>133</v>
      </c>
    </row>
    <row r="93" spans="1:7" ht="28.8" x14ac:dyDescent="0.3">
      <c r="A93" s="52" t="s">
        <v>364</v>
      </c>
      <c r="B93" s="42" t="s">
        <v>365</v>
      </c>
      <c r="C93" s="42" t="s">
        <v>14</v>
      </c>
      <c r="D93" s="53">
        <v>45924</v>
      </c>
      <c r="E93" s="53">
        <v>46021</v>
      </c>
      <c r="F93" s="54">
        <v>83</v>
      </c>
      <c r="G93" s="54">
        <f t="shared" si="2"/>
        <v>97</v>
      </c>
    </row>
    <row r="94" spans="1:7" ht="28.8" x14ac:dyDescent="0.3">
      <c r="A94" s="48" t="s">
        <v>368</v>
      </c>
      <c r="B94" s="49" t="s">
        <v>369</v>
      </c>
      <c r="C94" s="49" t="s">
        <v>14</v>
      </c>
      <c r="D94" s="50">
        <v>45896</v>
      </c>
      <c r="E94" s="50">
        <v>46014</v>
      </c>
      <c r="F94" s="51">
        <v>84</v>
      </c>
      <c r="G94" s="51">
        <f t="shared" si="2"/>
        <v>118</v>
      </c>
    </row>
    <row r="95" spans="1:7" ht="28.8" x14ac:dyDescent="0.3">
      <c r="A95" s="52" t="s">
        <v>372</v>
      </c>
      <c r="B95" s="42" t="s">
        <v>373</v>
      </c>
      <c r="C95" s="42" t="s">
        <v>14</v>
      </c>
      <c r="D95" s="53">
        <v>45895</v>
      </c>
      <c r="E95" s="53">
        <v>46007</v>
      </c>
      <c r="F95" s="54">
        <v>85</v>
      </c>
      <c r="G95" s="54">
        <f t="shared" si="2"/>
        <v>112</v>
      </c>
    </row>
    <row r="96" spans="1:7" ht="28.8" x14ac:dyDescent="0.3">
      <c r="A96" s="48" t="s">
        <v>375</v>
      </c>
      <c r="B96" s="49" t="s">
        <v>376</v>
      </c>
      <c r="C96" s="49" t="s">
        <v>14</v>
      </c>
      <c r="D96" s="50">
        <v>45922</v>
      </c>
      <c r="E96" s="50">
        <v>46010</v>
      </c>
      <c r="F96" s="51">
        <v>86</v>
      </c>
      <c r="G96" s="51">
        <f t="shared" si="2"/>
        <v>88</v>
      </c>
    </row>
    <row r="97" spans="1:7" ht="28.8" x14ac:dyDescent="0.3">
      <c r="A97" s="52" t="s">
        <v>379</v>
      </c>
      <c r="B97" s="42" t="s">
        <v>380</v>
      </c>
      <c r="C97" s="42" t="s">
        <v>14</v>
      </c>
      <c r="D97" s="53">
        <v>45922</v>
      </c>
      <c r="E97" s="53">
        <v>46010</v>
      </c>
      <c r="F97" s="54">
        <v>87</v>
      </c>
      <c r="G97" s="54">
        <f t="shared" si="2"/>
        <v>88</v>
      </c>
    </row>
    <row r="98" spans="1:7" ht="28.8" x14ac:dyDescent="0.3">
      <c r="A98" s="48" t="s">
        <v>382</v>
      </c>
      <c r="B98" s="49" t="s">
        <v>383</v>
      </c>
      <c r="C98" s="49" t="s">
        <v>14</v>
      </c>
      <c r="D98" s="50">
        <v>45922</v>
      </c>
      <c r="E98" s="50">
        <v>46010</v>
      </c>
      <c r="F98" s="51">
        <v>88</v>
      </c>
      <c r="G98" s="51">
        <f t="shared" si="2"/>
        <v>88</v>
      </c>
    </row>
    <row r="99" spans="1:7" ht="28.8" x14ac:dyDescent="0.3">
      <c r="A99" s="52" t="s">
        <v>385</v>
      </c>
      <c r="B99" s="42" t="s">
        <v>386</v>
      </c>
      <c r="C99" s="42" t="s">
        <v>37</v>
      </c>
      <c r="D99" s="53">
        <v>45588</v>
      </c>
      <c r="E99" s="53">
        <v>45698</v>
      </c>
      <c r="F99" s="54">
        <v>89</v>
      </c>
      <c r="G99" s="54">
        <f t="shared" si="2"/>
        <v>110</v>
      </c>
    </row>
    <row r="100" spans="1:7" ht="43.2" x14ac:dyDescent="0.3">
      <c r="A100" s="48" t="s">
        <v>392</v>
      </c>
      <c r="B100" s="49" t="s">
        <v>393</v>
      </c>
      <c r="C100" s="49" t="s">
        <v>37</v>
      </c>
      <c r="D100" s="50">
        <v>45588</v>
      </c>
      <c r="E100" s="50">
        <v>45695</v>
      </c>
      <c r="F100" s="51">
        <v>90</v>
      </c>
      <c r="G100" s="51">
        <f t="shared" si="2"/>
        <v>107</v>
      </c>
    </row>
    <row r="101" spans="1:7" ht="43.2" x14ac:dyDescent="0.3">
      <c r="A101" s="52" t="s">
        <v>397</v>
      </c>
      <c r="B101" s="42" t="s">
        <v>398</v>
      </c>
      <c r="C101" s="42" t="s">
        <v>37</v>
      </c>
      <c r="D101" s="53">
        <v>45826</v>
      </c>
      <c r="E101" s="53">
        <v>45945</v>
      </c>
      <c r="F101" s="54">
        <v>91</v>
      </c>
      <c r="G101" s="54">
        <f t="shared" si="2"/>
        <v>119</v>
      </c>
    </row>
    <row r="102" spans="1:7" ht="43.2" x14ac:dyDescent="0.3">
      <c r="A102" s="48" t="s">
        <v>401</v>
      </c>
      <c r="B102" s="49" t="s">
        <v>402</v>
      </c>
      <c r="C102" s="49" t="s">
        <v>37</v>
      </c>
      <c r="D102" s="50">
        <v>45896</v>
      </c>
      <c r="E102" s="50">
        <v>45996</v>
      </c>
      <c r="F102" s="51">
        <v>92</v>
      </c>
      <c r="G102" s="51">
        <f t="shared" si="2"/>
        <v>100</v>
      </c>
    </row>
    <row r="103" spans="1:7" x14ac:dyDescent="0.3">
      <c r="A103" s="52" t="s">
        <v>405</v>
      </c>
      <c r="B103" s="42" t="s">
        <v>406</v>
      </c>
      <c r="C103" s="42" t="s">
        <v>27</v>
      </c>
      <c r="D103" s="53">
        <v>45728</v>
      </c>
      <c r="E103" s="53">
        <v>45824</v>
      </c>
      <c r="F103" s="54">
        <v>93</v>
      </c>
      <c r="G103" s="54">
        <f t="shared" si="2"/>
        <v>96</v>
      </c>
    </row>
    <row r="104" spans="1:7" ht="28.8" x14ac:dyDescent="0.3">
      <c r="A104" s="48" t="s">
        <v>410</v>
      </c>
      <c r="B104" s="49" t="s">
        <v>411</v>
      </c>
      <c r="C104" s="49" t="s">
        <v>27</v>
      </c>
      <c r="D104" s="50">
        <v>45763</v>
      </c>
      <c r="E104" s="50">
        <v>45905</v>
      </c>
      <c r="F104" s="51">
        <v>94</v>
      </c>
      <c r="G104" s="51">
        <f t="shared" si="2"/>
        <v>142</v>
      </c>
    </row>
    <row r="105" spans="1:7" ht="43.2" x14ac:dyDescent="0.3">
      <c r="A105" s="52" t="s">
        <v>415</v>
      </c>
      <c r="B105" s="42" t="s">
        <v>416</v>
      </c>
      <c r="C105" s="42" t="s">
        <v>27</v>
      </c>
      <c r="D105" s="53">
        <v>45742</v>
      </c>
      <c r="E105" s="53">
        <v>45784</v>
      </c>
      <c r="F105" s="54">
        <v>95</v>
      </c>
      <c r="G105" s="54">
        <f t="shared" si="2"/>
        <v>42</v>
      </c>
    </row>
    <row r="106" spans="1:7" ht="43.2" x14ac:dyDescent="0.3">
      <c r="A106" s="48" t="s">
        <v>422</v>
      </c>
      <c r="B106" s="49" t="s">
        <v>423</v>
      </c>
      <c r="C106" s="49" t="s">
        <v>27</v>
      </c>
      <c r="D106" s="50">
        <v>45742</v>
      </c>
      <c r="E106" s="50">
        <v>45784</v>
      </c>
      <c r="F106" s="51">
        <v>96</v>
      </c>
      <c r="G106" s="51">
        <f t="shared" si="2"/>
        <v>42</v>
      </c>
    </row>
    <row r="107" spans="1:7" ht="43.2" x14ac:dyDescent="0.3">
      <c r="A107" s="52" t="s">
        <v>426</v>
      </c>
      <c r="B107" s="42" t="s">
        <v>427</v>
      </c>
      <c r="C107" s="42" t="s">
        <v>27</v>
      </c>
      <c r="D107" s="53">
        <v>45742</v>
      </c>
      <c r="E107" s="53">
        <v>45784</v>
      </c>
      <c r="F107" s="54">
        <v>97</v>
      </c>
      <c r="G107" s="54">
        <f t="shared" si="2"/>
        <v>42</v>
      </c>
    </row>
    <row r="108" spans="1:7" x14ac:dyDescent="0.3">
      <c r="A108" s="48" t="s">
        <v>430</v>
      </c>
      <c r="B108" s="49" t="s">
        <v>431</v>
      </c>
      <c r="C108" s="49" t="s">
        <v>27</v>
      </c>
      <c r="D108" s="50">
        <v>45853</v>
      </c>
      <c r="E108" s="50">
        <v>45902</v>
      </c>
      <c r="F108" s="51">
        <v>98</v>
      </c>
      <c r="G108" s="51">
        <f t="shared" si="2"/>
        <v>49</v>
      </c>
    </row>
    <row r="109" spans="1:7" ht="28.8" x14ac:dyDescent="0.3">
      <c r="A109" s="52" t="s">
        <v>434</v>
      </c>
      <c r="B109" s="42" t="s">
        <v>435</v>
      </c>
      <c r="C109" s="42" t="s">
        <v>27</v>
      </c>
      <c r="D109" s="53">
        <v>45866</v>
      </c>
      <c r="E109" s="53">
        <v>45931</v>
      </c>
      <c r="F109" s="54">
        <v>99</v>
      </c>
      <c r="G109" s="54">
        <f t="shared" si="2"/>
        <v>65</v>
      </c>
    </row>
    <row r="110" spans="1:7" x14ac:dyDescent="0.3">
      <c r="A110" s="48" t="s">
        <v>438</v>
      </c>
      <c r="B110" s="49" t="s">
        <v>439</v>
      </c>
      <c r="C110" s="49" t="s">
        <v>27</v>
      </c>
      <c r="D110" s="50">
        <v>45910</v>
      </c>
      <c r="E110" s="50">
        <v>45953</v>
      </c>
      <c r="F110" s="51">
        <v>100</v>
      </c>
      <c r="G110" s="51">
        <f t="shared" ref="G110:G141" si="3">E110-D110</f>
        <v>43</v>
      </c>
    </row>
    <row r="111" spans="1:7" ht="28.8" x14ac:dyDescent="0.3">
      <c r="A111" s="52" t="s">
        <v>442</v>
      </c>
      <c r="B111" s="42" t="s">
        <v>443</v>
      </c>
      <c r="C111" s="42" t="s">
        <v>27</v>
      </c>
      <c r="D111" s="53">
        <v>45959</v>
      </c>
      <c r="E111" s="53">
        <v>46000</v>
      </c>
      <c r="F111" s="54">
        <v>101</v>
      </c>
      <c r="G111" s="54">
        <f t="shared" si="3"/>
        <v>41</v>
      </c>
    </row>
    <row r="112" spans="1:7" ht="28.8" x14ac:dyDescent="0.3">
      <c r="A112" s="48" t="s">
        <v>445</v>
      </c>
      <c r="B112" s="49" t="s">
        <v>446</v>
      </c>
      <c r="C112" s="49" t="s">
        <v>27</v>
      </c>
      <c r="D112" s="50">
        <v>45959</v>
      </c>
      <c r="E112" s="50">
        <v>46000</v>
      </c>
      <c r="F112" s="51">
        <v>102</v>
      </c>
      <c r="G112" s="51">
        <f t="shared" si="3"/>
        <v>41</v>
      </c>
    </row>
    <row r="113" spans="1:7" ht="28.8" x14ac:dyDescent="0.3">
      <c r="A113" s="52" t="s">
        <v>447</v>
      </c>
      <c r="B113" s="42" t="s">
        <v>448</v>
      </c>
      <c r="C113" s="42" t="s">
        <v>99</v>
      </c>
      <c r="D113" s="53">
        <v>45705</v>
      </c>
      <c r="E113" s="53">
        <v>45714</v>
      </c>
      <c r="F113" s="54">
        <v>103</v>
      </c>
      <c r="G113" s="54">
        <f t="shared" si="3"/>
        <v>9</v>
      </c>
    </row>
    <row r="114" spans="1:7" ht="28.8" x14ac:dyDescent="0.3">
      <c r="A114" s="48" t="s">
        <v>452</v>
      </c>
      <c r="B114" s="49" t="s">
        <v>453</v>
      </c>
      <c r="C114" s="49" t="s">
        <v>99</v>
      </c>
      <c r="D114" s="50">
        <v>45705</v>
      </c>
      <c r="E114" s="50">
        <v>45715</v>
      </c>
      <c r="F114" s="51">
        <v>104</v>
      </c>
      <c r="G114" s="51">
        <f t="shared" si="3"/>
        <v>10</v>
      </c>
    </row>
    <row r="115" spans="1:7" ht="28.8" x14ac:dyDescent="0.3">
      <c r="A115" s="52" t="s">
        <v>457</v>
      </c>
      <c r="B115" s="42" t="s">
        <v>458</v>
      </c>
      <c r="C115" s="42" t="s">
        <v>99</v>
      </c>
      <c r="D115" s="53">
        <v>45793</v>
      </c>
      <c r="E115" s="53">
        <v>45805</v>
      </c>
      <c r="F115" s="54">
        <v>105</v>
      </c>
      <c r="G115" s="54">
        <f t="shared" si="3"/>
        <v>12</v>
      </c>
    </row>
    <row r="116" spans="1:7" ht="28.8" x14ac:dyDescent="0.3">
      <c r="A116" s="48" t="s">
        <v>463</v>
      </c>
      <c r="B116" s="49" t="s">
        <v>464</v>
      </c>
      <c r="C116" s="49" t="s">
        <v>99</v>
      </c>
      <c r="D116" s="50">
        <v>45754</v>
      </c>
      <c r="E116" s="50">
        <v>45789</v>
      </c>
      <c r="F116" s="51">
        <v>106</v>
      </c>
      <c r="G116" s="51">
        <f t="shared" si="3"/>
        <v>35</v>
      </c>
    </row>
    <row r="117" spans="1:7" ht="28.8" x14ac:dyDescent="0.3">
      <c r="A117" s="52" t="s">
        <v>469</v>
      </c>
      <c r="B117" s="42" t="s">
        <v>470</v>
      </c>
      <c r="C117" s="42" t="s">
        <v>99</v>
      </c>
      <c r="D117" s="53">
        <v>45754</v>
      </c>
      <c r="E117" s="53">
        <v>45791</v>
      </c>
      <c r="F117" s="54">
        <v>107</v>
      </c>
      <c r="G117" s="54">
        <f t="shared" si="3"/>
        <v>37</v>
      </c>
    </row>
    <row r="118" spans="1:7" ht="28.8" x14ac:dyDescent="0.3">
      <c r="A118" s="48" t="s">
        <v>475</v>
      </c>
      <c r="B118" s="49" t="s">
        <v>476</v>
      </c>
      <c r="C118" s="49" t="s">
        <v>99</v>
      </c>
      <c r="D118" s="50">
        <v>45754</v>
      </c>
      <c r="E118" s="50">
        <v>45789</v>
      </c>
      <c r="F118" s="51">
        <v>108</v>
      </c>
      <c r="G118" s="51">
        <f t="shared" si="3"/>
        <v>35</v>
      </c>
    </row>
    <row r="119" spans="1:7" ht="28.8" x14ac:dyDescent="0.3">
      <c r="A119" s="52" t="s">
        <v>479</v>
      </c>
      <c r="B119" s="42" t="s">
        <v>480</v>
      </c>
      <c r="C119" s="42" t="s">
        <v>99</v>
      </c>
      <c r="D119" s="53">
        <v>45754</v>
      </c>
      <c r="E119" s="53">
        <v>45803</v>
      </c>
      <c r="F119" s="54">
        <v>109</v>
      </c>
      <c r="G119" s="54">
        <f t="shared" si="3"/>
        <v>49</v>
      </c>
    </row>
    <row r="120" spans="1:7" ht="28.8" x14ac:dyDescent="0.3">
      <c r="A120" s="48" t="s">
        <v>484</v>
      </c>
      <c r="B120" s="49" t="s">
        <v>485</v>
      </c>
      <c r="C120" s="49" t="s">
        <v>99</v>
      </c>
      <c r="D120" s="50">
        <v>45756</v>
      </c>
      <c r="E120" s="50">
        <v>45806</v>
      </c>
      <c r="F120" s="51">
        <v>110</v>
      </c>
      <c r="G120" s="51">
        <f t="shared" si="3"/>
        <v>50</v>
      </c>
    </row>
    <row r="121" spans="1:7" x14ac:dyDescent="0.3">
      <c r="A121" s="52" t="s">
        <v>488</v>
      </c>
      <c r="B121" s="42" t="s">
        <v>489</v>
      </c>
      <c r="C121" s="42" t="s">
        <v>99</v>
      </c>
      <c r="D121" s="53">
        <v>45754</v>
      </c>
      <c r="E121" s="53">
        <v>45791</v>
      </c>
      <c r="F121" s="54">
        <v>111</v>
      </c>
      <c r="G121" s="54">
        <f t="shared" si="3"/>
        <v>37</v>
      </c>
    </row>
    <row r="122" spans="1:7" x14ac:dyDescent="0.3">
      <c r="A122" s="48" t="s">
        <v>492</v>
      </c>
      <c r="B122" s="49" t="s">
        <v>493</v>
      </c>
      <c r="C122" s="49" t="s">
        <v>99</v>
      </c>
      <c r="D122" s="50">
        <v>45754</v>
      </c>
      <c r="E122" s="50">
        <v>45789</v>
      </c>
      <c r="F122" s="51">
        <v>112</v>
      </c>
      <c r="G122" s="51">
        <f t="shared" si="3"/>
        <v>35</v>
      </c>
    </row>
    <row r="123" spans="1:7" ht="28.8" x14ac:dyDescent="0.3">
      <c r="A123" s="52" t="s">
        <v>496</v>
      </c>
      <c r="B123" s="42" t="s">
        <v>497</v>
      </c>
      <c r="C123" s="42" t="s">
        <v>99</v>
      </c>
      <c r="D123" s="53">
        <v>45757</v>
      </c>
      <c r="E123" s="53">
        <v>45785</v>
      </c>
      <c r="F123" s="54">
        <v>113</v>
      </c>
      <c r="G123" s="54">
        <f t="shared" si="3"/>
        <v>28</v>
      </c>
    </row>
    <row r="124" spans="1:7" ht="28.8" x14ac:dyDescent="0.3">
      <c r="A124" s="48" t="s">
        <v>502</v>
      </c>
      <c r="B124" s="49" t="s">
        <v>503</v>
      </c>
      <c r="C124" s="49" t="s">
        <v>99</v>
      </c>
      <c r="D124" s="50">
        <v>45762</v>
      </c>
      <c r="E124" s="50">
        <v>45789</v>
      </c>
      <c r="F124" s="51">
        <v>114</v>
      </c>
      <c r="G124" s="51">
        <f t="shared" si="3"/>
        <v>27</v>
      </c>
    </row>
    <row r="125" spans="1:7" x14ac:dyDescent="0.3">
      <c r="A125" s="52" t="s">
        <v>506</v>
      </c>
      <c r="B125" s="42" t="s">
        <v>507</v>
      </c>
      <c r="C125" s="42" t="s">
        <v>99</v>
      </c>
      <c r="D125" s="53">
        <v>45769</v>
      </c>
      <c r="E125" s="53">
        <v>45818</v>
      </c>
      <c r="F125" s="54">
        <v>115</v>
      </c>
      <c r="G125" s="54">
        <f t="shared" si="3"/>
        <v>49</v>
      </c>
    </row>
    <row r="126" spans="1:7" ht="28.8" x14ac:dyDescent="0.3">
      <c r="A126" s="48" t="s">
        <v>511</v>
      </c>
      <c r="B126" s="49" t="s">
        <v>512</v>
      </c>
      <c r="C126" s="49" t="s">
        <v>99</v>
      </c>
      <c r="D126" s="50">
        <v>45784</v>
      </c>
      <c r="E126" s="50">
        <v>45806</v>
      </c>
      <c r="F126" s="51">
        <v>116</v>
      </c>
      <c r="G126" s="51">
        <f t="shared" si="3"/>
        <v>22</v>
      </c>
    </row>
    <row r="127" spans="1:7" ht="28.8" x14ac:dyDescent="0.3">
      <c r="A127" s="52" t="s">
        <v>515</v>
      </c>
      <c r="B127" s="42" t="s">
        <v>516</v>
      </c>
      <c r="C127" s="42" t="s">
        <v>99</v>
      </c>
      <c r="D127" s="53">
        <v>45845</v>
      </c>
      <c r="E127" s="53">
        <v>45915</v>
      </c>
      <c r="F127" s="54">
        <v>117</v>
      </c>
      <c r="G127" s="54">
        <f t="shared" si="3"/>
        <v>70</v>
      </c>
    </row>
    <row r="128" spans="1:7" ht="28.8" x14ac:dyDescent="0.3">
      <c r="A128" s="48" t="s">
        <v>519</v>
      </c>
      <c r="B128" s="49" t="s">
        <v>520</v>
      </c>
      <c r="C128" s="49" t="s">
        <v>99</v>
      </c>
      <c r="D128" s="50">
        <v>45825</v>
      </c>
      <c r="E128" s="50">
        <v>45849</v>
      </c>
      <c r="F128" s="51">
        <v>118</v>
      </c>
      <c r="G128" s="51">
        <f t="shared" si="3"/>
        <v>24</v>
      </c>
    </row>
    <row r="129" spans="1:7" x14ac:dyDescent="0.3">
      <c r="A129" s="52" t="s">
        <v>523</v>
      </c>
      <c r="B129" s="42" t="s">
        <v>524</v>
      </c>
      <c r="C129" s="42" t="s">
        <v>99</v>
      </c>
      <c r="D129" s="53">
        <v>45769</v>
      </c>
      <c r="E129" s="53">
        <v>45783</v>
      </c>
      <c r="F129" s="54">
        <v>119</v>
      </c>
      <c r="G129" s="54">
        <f t="shared" si="3"/>
        <v>14</v>
      </c>
    </row>
    <row r="130" spans="1:7" ht="28.8" x14ac:dyDescent="0.3">
      <c r="A130" s="48" t="s">
        <v>528</v>
      </c>
      <c r="B130" s="49" t="s">
        <v>529</v>
      </c>
      <c r="C130" s="49" t="s">
        <v>99</v>
      </c>
      <c r="D130" s="50">
        <v>45842</v>
      </c>
      <c r="E130" s="50">
        <v>45855</v>
      </c>
      <c r="F130" s="51">
        <v>120</v>
      </c>
      <c r="G130" s="51">
        <f t="shared" si="3"/>
        <v>13</v>
      </c>
    </row>
    <row r="131" spans="1:7" ht="28.8" x14ac:dyDescent="0.3">
      <c r="A131" s="52" t="s">
        <v>531</v>
      </c>
      <c r="B131" s="42" t="s">
        <v>532</v>
      </c>
      <c r="C131" s="42" t="s">
        <v>99</v>
      </c>
      <c r="D131" s="53">
        <v>45803</v>
      </c>
      <c r="E131" s="53">
        <v>45805</v>
      </c>
      <c r="F131" s="54">
        <v>121</v>
      </c>
      <c r="G131" s="54">
        <f t="shared" si="3"/>
        <v>2</v>
      </c>
    </row>
    <row r="132" spans="1:7" ht="28.8" x14ac:dyDescent="0.3">
      <c r="A132" s="48" t="s">
        <v>535</v>
      </c>
      <c r="B132" s="49" t="s">
        <v>536</v>
      </c>
      <c r="C132" s="49" t="s">
        <v>99</v>
      </c>
      <c r="D132" s="50">
        <v>45803</v>
      </c>
      <c r="E132" s="50">
        <v>45806</v>
      </c>
      <c r="F132" s="51">
        <v>122</v>
      </c>
      <c r="G132" s="51">
        <f t="shared" si="3"/>
        <v>3</v>
      </c>
    </row>
    <row r="133" spans="1:7" ht="28.8" x14ac:dyDescent="0.3">
      <c r="A133" s="52" t="s">
        <v>539</v>
      </c>
      <c r="B133" s="42" t="s">
        <v>540</v>
      </c>
      <c r="C133" s="42" t="s">
        <v>99</v>
      </c>
      <c r="D133" s="53">
        <v>45825</v>
      </c>
      <c r="E133" s="53">
        <v>45848</v>
      </c>
      <c r="F133" s="54">
        <v>123</v>
      </c>
      <c r="G133" s="54">
        <f t="shared" si="3"/>
        <v>23</v>
      </c>
    </row>
    <row r="134" spans="1:7" ht="28.8" x14ac:dyDescent="0.3">
      <c r="A134" s="48" t="s">
        <v>543</v>
      </c>
      <c r="B134" s="49" t="s">
        <v>544</v>
      </c>
      <c r="C134" s="49" t="s">
        <v>99</v>
      </c>
      <c r="D134" s="50">
        <v>45840</v>
      </c>
      <c r="E134" s="50">
        <v>45848</v>
      </c>
      <c r="F134" s="51">
        <v>124</v>
      </c>
      <c r="G134" s="51">
        <f t="shared" si="3"/>
        <v>8</v>
      </c>
    </row>
    <row r="135" spans="1:7" ht="43.2" x14ac:dyDescent="0.3">
      <c r="A135" s="52" t="s">
        <v>547</v>
      </c>
      <c r="B135" s="42" t="s">
        <v>548</v>
      </c>
      <c r="C135" s="42" t="s">
        <v>99</v>
      </c>
      <c r="D135" s="53">
        <v>45840</v>
      </c>
      <c r="E135" s="53">
        <v>45855</v>
      </c>
      <c r="F135" s="54">
        <v>125</v>
      </c>
      <c r="G135" s="54">
        <f t="shared" si="3"/>
        <v>15</v>
      </c>
    </row>
    <row r="136" spans="1:7" ht="43.2" x14ac:dyDescent="0.3">
      <c r="A136" s="48" t="s">
        <v>550</v>
      </c>
      <c r="B136" s="49" t="s">
        <v>551</v>
      </c>
      <c r="C136" s="49" t="s">
        <v>99</v>
      </c>
      <c r="D136" s="50">
        <v>45842</v>
      </c>
      <c r="E136" s="50">
        <v>45861</v>
      </c>
      <c r="F136" s="51">
        <v>126</v>
      </c>
      <c r="G136" s="51">
        <f t="shared" si="3"/>
        <v>19</v>
      </c>
    </row>
    <row r="137" spans="1:7" ht="43.2" x14ac:dyDescent="0.3">
      <c r="A137" s="52" t="s">
        <v>553</v>
      </c>
      <c r="B137" s="42" t="s">
        <v>554</v>
      </c>
      <c r="C137" s="42" t="s">
        <v>99</v>
      </c>
      <c r="D137" s="53">
        <v>45842</v>
      </c>
      <c r="E137" s="53">
        <v>45856</v>
      </c>
      <c r="F137" s="54">
        <v>127</v>
      </c>
      <c r="G137" s="54">
        <f t="shared" si="3"/>
        <v>14</v>
      </c>
    </row>
    <row r="138" spans="1:7" ht="28.8" x14ac:dyDescent="0.3">
      <c r="A138" s="48" t="s">
        <v>557</v>
      </c>
      <c r="B138" s="49" t="s">
        <v>558</v>
      </c>
      <c r="C138" s="49" t="s">
        <v>99</v>
      </c>
      <c r="D138" s="50">
        <v>45867</v>
      </c>
      <c r="E138" s="50">
        <v>45918</v>
      </c>
      <c r="F138" s="51">
        <v>128</v>
      </c>
      <c r="G138" s="51">
        <f t="shared" si="3"/>
        <v>51</v>
      </c>
    </row>
    <row r="139" spans="1:7" ht="28.8" x14ac:dyDescent="0.3">
      <c r="A139" s="52" t="s">
        <v>560</v>
      </c>
      <c r="B139" s="42" t="s">
        <v>561</v>
      </c>
      <c r="C139" s="42" t="s">
        <v>99</v>
      </c>
      <c r="D139" s="53">
        <v>45846</v>
      </c>
      <c r="E139" s="53">
        <v>45856</v>
      </c>
      <c r="F139" s="54">
        <v>129</v>
      </c>
      <c r="G139" s="54">
        <f t="shared" si="3"/>
        <v>10</v>
      </c>
    </row>
    <row r="140" spans="1:7" ht="28.8" x14ac:dyDescent="0.3">
      <c r="A140" s="48" t="s">
        <v>563</v>
      </c>
      <c r="B140" s="49" t="s">
        <v>564</v>
      </c>
      <c r="C140" s="49" t="s">
        <v>99</v>
      </c>
      <c r="D140" s="50">
        <v>45840</v>
      </c>
      <c r="E140" s="50">
        <v>45848</v>
      </c>
      <c r="F140" s="51">
        <v>130</v>
      </c>
      <c r="G140" s="51">
        <f t="shared" si="3"/>
        <v>8</v>
      </c>
    </row>
    <row r="141" spans="1:7" ht="43.2" x14ac:dyDescent="0.3">
      <c r="A141" s="52" t="s">
        <v>566</v>
      </c>
      <c r="B141" s="42" t="s">
        <v>567</v>
      </c>
      <c r="C141" s="42" t="s">
        <v>99</v>
      </c>
      <c r="D141" s="53">
        <v>45846</v>
      </c>
      <c r="E141" s="53">
        <v>45876</v>
      </c>
      <c r="F141" s="54">
        <v>131</v>
      </c>
      <c r="G141" s="54">
        <f t="shared" si="3"/>
        <v>30</v>
      </c>
    </row>
    <row r="142" spans="1:7" ht="28.8" x14ac:dyDescent="0.3">
      <c r="A142" s="48" t="s">
        <v>569</v>
      </c>
      <c r="B142" s="49" t="s">
        <v>570</v>
      </c>
      <c r="C142" s="49" t="s">
        <v>99</v>
      </c>
      <c r="D142" s="50">
        <v>45867</v>
      </c>
      <c r="E142" s="50">
        <v>45915</v>
      </c>
      <c r="F142" s="51">
        <v>132</v>
      </c>
      <c r="G142" s="51">
        <f t="shared" ref="G142:G173" si="4">E142-D142</f>
        <v>48</v>
      </c>
    </row>
    <row r="143" spans="1:7" ht="28.8" x14ac:dyDescent="0.3">
      <c r="A143" s="52" t="s">
        <v>572</v>
      </c>
      <c r="B143" s="42" t="s">
        <v>573</v>
      </c>
      <c r="C143" s="42" t="s">
        <v>99</v>
      </c>
      <c r="D143" s="53">
        <v>45841</v>
      </c>
      <c r="E143" s="53">
        <v>45856</v>
      </c>
      <c r="F143" s="54">
        <v>133</v>
      </c>
      <c r="G143" s="54">
        <f t="shared" si="4"/>
        <v>15</v>
      </c>
    </row>
    <row r="144" spans="1:7" ht="28.8" x14ac:dyDescent="0.3">
      <c r="A144" s="48" t="s">
        <v>575</v>
      </c>
      <c r="B144" s="49" t="s">
        <v>576</v>
      </c>
      <c r="C144" s="49" t="s">
        <v>99</v>
      </c>
      <c r="D144" s="50">
        <v>45841</v>
      </c>
      <c r="E144" s="50">
        <v>45856</v>
      </c>
      <c r="F144" s="51">
        <v>134</v>
      </c>
      <c r="G144" s="51">
        <f t="shared" si="4"/>
        <v>15</v>
      </c>
    </row>
    <row r="145" spans="1:7" ht="28.8" x14ac:dyDescent="0.3">
      <c r="A145" s="52" t="s">
        <v>578</v>
      </c>
      <c r="B145" s="42" t="s">
        <v>579</v>
      </c>
      <c r="C145" s="42" t="s">
        <v>99</v>
      </c>
      <c r="D145" s="53">
        <v>45842</v>
      </c>
      <c r="E145" s="53">
        <v>45856</v>
      </c>
      <c r="F145" s="54">
        <v>135</v>
      </c>
      <c r="G145" s="54">
        <f t="shared" si="4"/>
        <v>14</v>
      </c>
    </row>
    <row r="146" spans="1:7" ht="28.8" x14ac:dyDescent="0.3">
      <c r="A146" s="48" t="s">
        <v>581</v>
      </c>
      <c r="B146" s="49" t="s">
        <v>582</v>
      </c>
      <c r="C146" s="49" t="s">
        <v>99</v>
      </c>
      <c r="D146" s="50">
        <v>45841</v>
      </c>
      <c r="E146" s="50">
        <v>45856</v>
      </c>
      <c r="F146" s="51">
        <v>136</v>
      </c>
      <c r="G146" s="51">
        <f t="shared" si="4"/>
        <v>15</v>
      </c>
    </row>
    <row r="147" spans="1:7" x14ac:dyDescent="0.3">
      <c r="A147" s="52" t="s">
        <v>584</v>
      </c>
      <c r="B147" s="42" t="s">
        <v>585</v>
      </c>
      <c r="C147" s="42" t="s">
        <v>99</v>
      </c>
      <c r="D147" s="53">
        <v>45827</v>
      </c>
      <c r="E147" s="53">
        <v>45827</v>
      </c>
      <c r="F147" s="54">
        <v>137</v>
      </c>
      <c r="G147" s="54">
        <f t="shared" si="4"/>
        <v>0</v>
      </c>
    </row>
    <row r="148" spans="1:7" ht="43.2" x14ac:dyDescent="0.3">
      <c r="A148" s="48" t="s">
        <v>589</v>
      </c>
      <c r="B148" s="49" t="s">
        <v>590</v>
      </c>
      <c r="C148" s="49" t="s">
        <v>99</v>
      </c>
      <c r="D148" s="50">
        <v>45846</v>
      </c>
      <c r="E148" s="50">
        <v>45883</v>
      </c>
      <c r="F148" s="51">
        <v>138</v>
      </c>
      <c r="G148" s="51">
        <f t="shared" si="4"/>
        <v>37</v>
      </c>
    </row>
    <row r="149" spans="1:7" ht="28.8" x14ac:dyDescent="0.3">
      <c r="A149" s="52" t="s">
        <v>592</v>
      </c>
      <c r="B149" s="42" t="s">
        <v>593</v>
      </c>
      <c r="C149" s="42" t="s">
        <v>99</v>
      </c>
      <c r="D149" s="53">
        <v>45842</v>
      </c>
      <c r="E149" s="53">
        <v>45849</v>
      </c>
      <c r="F149" s="54">
        <v>139</v>
      </c>
      <c r="G149" s="54">
        <f t="shared" si="4"/>
        <v>7</v>
      </c>
    </row>
    <row r="150" spans="1:7" ht="43.2" x14ac:dyDescent="0.3">
      <c r="A150" s="48" t="s">
        <v>595</v>
      </c>
      <c r="B150" s="49" t="s">
        <v>596</v>
      </c>
      <c r="C150" s="49" t="s">
        <v>99</v>
      </c>
      <c r="D150" s="50">
        <v>45840</v>
      </c>
      <c r="E150" s="50">
        <v>45856</v>
      </c>
      <c r="F150" s="51">
        <v>140</v>
      </c>
      <c r="G150" s="51">
        <f t="shared" si="4"/>
        <v>16</v>
      </c>
    </row>
    <row r="151" spans="1:7" ht="43.2" x14ac:dyDescent="0.3">
      <c r="A151" s="52" t="s">
        <v>598</v>
      </c>
      <c r="B151" s="42" t="s">
        <v>599</v>
      </c>
      <c r="C151" s="42" t="s">
        <v>99</v>
      </c>
      <c r="D151" s="53">
        <v>45868</v>
      </c>
      <c r="E151" s="53">
        <v>45883</v>
      </c>
      <c r="F151" s="54">
        <v>141</v>
      </c>
      <c r="G151" s="54">
        <f t="shared" si="4"/>
        <v>15</v>
      </c>
    </row>
    <row r="152" spans="1:7" ht="43.2" x14ac:dyDescent="0.3">
      <c r="A152" s="48" t="s">
        <v>602</v>
      </c>
      <c r="B152" s="49" t="s">
        <v>603</v>
      </c>
      <c r="C152" s="49" t="s">
        <v>99</v>
      </c>
      <c r="D152" s="50">
        <v>45896</v>
      </c>
      <c r="E152" s="50">
        <v>45931</v>
      </c>
      <c r="F152" s="51">
        <v>142</v>
      </c>
      <c r="G152" s="51">
        <f t="shared" si="4"/>
        <v>35</v>
      </c>
    </row>
    <row r="153" spans="1:7" ht="43.2" x14ac:dyDescent="0.3">
      <c r="A153" s="52" t="s">
        <v>605</v>
      </c>
      <c r="B153" s="42" t="s">
        <v>606</v>
      </c>
      <c r="C153" s="42" t="s">
        <v>99</v>
      </c>
      <c r="D153" s="53">
        <v>45861</v>
      </c>
      <c r="E153" s="53">
        <v>45945</v>
      </c>
      <c r="F153" s="54">
        <v>143</v>
      </c>
      <c r="G153" s="54">
        <f t="shared" si="4"/>
        <v>84</v>
      </c>
    </row>
    <row r="154" spans="1:7" ht="43.2" x14ac:dyDescent="0.3">
      <c r="A154" s="48" t="s">
        <v>609</v>
      </c>
      <c r="B154" s="49" t="s">
        <v>610</v>
      </c>
      <c r="C154" s="49" t="s">
        <v>99</v>
      </c>
      <c r="D154" s="50">
        <v>45931</v>
      </c>
      <c r="E154" s="50">
        <v>45950</v>
      </c>
      <c r="F154" s="51">
        <v>144</v>
      </c>
      <c r="G154" s="51">
        <f t="shared" si="4"/>
        <v>19</v>
      </c>
    </row>
    <row r="155" spans="1:7" ht="28.8" x14ac:dyDescent="0.3">
      <c r="A155" s="52" t="s">
        <v>612</v>
      </c>
      <c r="B155" s="42" t="s">
        <v>613</v>
      </c>
      <c r="C155" s="42" t="s">
        <v>99</v>
      </c>
      <c r="D155" s="53">
        <v>45931</v>
      </c>
      <c r="E155" s="53">
        <v>45966</v>
      </c>
      <c r="F155" s="54">
        <v>145</v>
      </c>
      <c r="G155" s="54">
        <f t="shared" si="4"/>
        <v>35</v>
      </c>
    </row>
    <row r="156" spans="1:7" ht="43.2" x14ac:dyDescent="0.3">
      <c r="A156" s="48" t="s">
        <v>616</v>
      </c>
      <c r="B156" s="49" t="s">
        <v>617</v>
      </c>
      <c r="C156" s="49" t="s">
        <v>99</v>
      </c>
      <c r="D156" s="50">
        <v>45959</v>
      </c>
      <c r="E156" s="50">
        <v>45973</v>
      </c>
      <c r="F156" s="51">
        <v>146</v>
      </c>
      <c r="G156" s="51">
        <f t="shared" si="4"/>
        <v>14</v>
      </c>
    </row>
    <row r="157" spans="1:7" ht="43.2" x14ac:dyDescent="0.3">
      <c r="A157" s="52" t="s">
        <v>619</v>
      </c>
      <c r="B157" s="42" t="s">
        <v>620</v>
      </c>
      <c r="C157" s="42" t="s">
        <v>134</v>
      </c>
      <c r="D157" s="53">
        <v>45742</v>
      </c>
      <c r="E157" s="53">
        <v>45831</v>
      </c>
      <c r="F157" s="54">
        <v>147</v>
      </c>
      <c r="G157" s="54">
        <f t="shared" si="4"/>
        <v>89</v>
      </c>
    </row>
    <row r="158" spans="1:7" ht="57.6" x14ac:dyDescent="0.3">
      <c r="A158" s="48" t="s">
        <v>622</v>
      </c>
      <c r="B158" s="49" t="s">
        <v>623</v>
      </c>
      <c r="C158" s="49" t="s">
        <v>14</v>
      </c>
      <c r="D158" s="50">
        <v>45497</v>
      </c>
      <c r="E158" s="50">
        <v>45684</v>
      </c>
      <c r="F158" s="51">
        <v>148</v>
      </c>
      <c r="G158" s="51">
        <f t="shared" si="4"/>
        <v>187</v>
      </c>
    </row>
    <row r="159" spans="1:7" ht="28.8" x14ac:dyDescent="0.3">
      <c r="A159" s="52" t="s">
        <v>627</v>
      </c>
      <c r="B159" s="42" t="s">
        <v>628</v>
      </c>
      <c r="C159" s="42" t="s">
        <v>14</v>
      </c>
      <c r="D159" s="53">
        <v>45595</v>
      </c>
      <c r="E159" s="53">
        <v>45684</v>
      </c>
      <c r="F159" s="54">
        <v>149</v>
      </c>
      <c r="G159" s="54">
        <f t="shared" si="4"/>
        <v>89</v>
      </c>
    </row>
    <row r="160" spans="1:7" ht="28.8" x14ac:dyDescent="0.3">
      <c r="A160" s="48" t="s">
        <v>633</v>
      </c>
      <c r="B160" s="49" t="s">
        <v>634</v>
      </c>
      <c r="C160" s="49" t="s">
        <v>14</v>
      </c>
      <c r="D160" s="50">
        <v>45518</v>
      </c>
      <c r="E160" s="50">
        <v>45660</v>
      </c>
      <c r="F160" s="51">
        <v>150</v>
      </c>
      <c r="G160" s="51">
        <f t="shared" si="4"/>
        <v>142</v>
      </c>
    </row>
    <row r="161" spans="1:7" ht="28.8" x14ac:dyDescent="0.3">
      <c r="A161" s="52" t="s">
        <v>638</v>
      </c>
      <c r="B161" s="42" t="s">
        <v>639</v>
      </c>
      <c r="C161" s="42" t="s">
        <v>14</v>
      </c>
      <c r="D161" s="53">
        <v>45518</v>
      </c>
      <c r="E161" s="53">
        <v>45660</v>
      </c>
      <c r="F161" s="54">
        <v>151</v>
      </c>
      <c r="G161" s="54">
        <f t="shared" si="4"/>
        <v>142</v>
      </c>
    </row>
    <row r="162" spans="1:7" ht="28.8" x14ac:dyDescent="0.3">
      <c r="A162" s="48" t="s">
        <v>642</v>
      </c>
      <c r="B162" s="49" t="s">
        <v>643</v>
      </c>
      <c r="C162" s="49" t="s">
        <v>14</v>
      </c>
      <c r="D162" s="50">
        <v>45518</v>
      </c>
      <c r="E162" s="50">
        <v>45660</v>
      </c>
      <c r="F162" s="51">
        <v>152</v>
      </c>
      <c r="G162" s="51">
        <f t="shared" si="4"/>
        <v>142</v>
      </c>
    </row>
    <row r="163" spans="1:7" ht="28.8" x14ac:dyDescent="0.3">
      <c r="A163" s="52" t="s">
        <v>646</v>
      </c>
      <c r="B163" s="42" t="s">
        <v>647</v>
      </c>
      <c r="C163" s="42" t="s">
        <v>14</v>
      </c>
      <c r="D163" s="53">
        <v>45518</v>
      </c>
      <c r="E163" s="53">
        <v>45660</v>
      </c>
      <c r="F163" s="54">
        <v>153</v>
      </c>
      <c r="G163" s="54">
        <f t="shared" si="4"/>
        <v>142</v>
      </c>
    </row>
    <row r="164" spans="1:7" ht="28.8" x14ac:dyDescent="0.3">
      <c r="A164" s="48" t="s">
        <v>650</v>
      </c>
      <c r="B164" s="49" t="s">
        <v>651</v>
      </c>
      <c r="C164" s="49" t="s">
        <v>14</v>
      </c>
      <c r="D164" s="50">
        <v>45539</v>
      </c>
      <c r="E164" s="50">
        <v>45660</v>
      </c>
      <c r="F164" s="51">
        <v>154</v>
      </c>
      <c r="G164" s="51">
        <f t="shared" si="4"/>
        <v>121</v>
      </c>
    </row>
    <row r="165" spans="1:7" x14ac:dyDescent="0.3">
      <c r="A165" s="52" t="s">
        <v>656</v>
      </c>
      <c r="B165" s="42" t="s">
        <v>657</v>
      </c>
      <c r="C165" s="42" t="s">
        <v>14</v>
      </c>
      <c r="D165" s="53">
        <v>45588</v>
      </c>
      <c r="E165" s="53">
        <v>45685</v>
      </c>
      <c r="F165" s="54">
        <v>155</v>
      </c>
      <c r="G165" s="54">
        <f t="shared" si="4"/>
        <v>97</v>
      </c>
    </row>
    <row r="166" spans="1:7" ht="28.8" x14ac:dyDescent="0.3">
      <c r="A166" s="48" t="s">
        <v>661</v>
      </c>
      <c r="B166" s="49" t="s">
        <v>662</v>
      </c>
      <c r="C166" s="49" t="s">
        <v>14</v>
      </c>
      <c r="D166" s="50">
        <v>45616</v>
      </c>
      <c r="E166" s="50">
        <v>45771</v>
      </c>
      <c r="F166" s="51">
        <v>156</v>
      </c>
      <c r="G166" s="51">
        <f t="shared" si="4"/>
        <v>155</v>
      </c>
    </row>
    <row r="167" spans="1:7" ht="28.8" x14ac:dyDescent="0.3">
      <c r="A167" s="52" t="s">
        <v>668</v>
      </c>
      <c r="B167" s="42" t="s">
        <v>669</v>
      </c>
      <c r="C167" s="42" t="s">
        <v>14</v>
      </c>
      <c r="D167" s="53">
        <v>45742</v>
      </c>
      <c r="E167" s="53">
        <v>45864</v>
      </c>
      <c r="F167" s="54">
        <v>157</v>
      </c>
      <c r="G167" s="54">
        <f t="shared" si="4"/>
        <v>122</v>
      </c>
    </row>
    <row r="168" spans="1:7" ht="28.8" x14ac:dyDescent="0.3">
      <c r="A168" s="48" t="s">
        <v>672</v>
      </c>
      <c r="B168" s="49" t="s">
        <v>673</v>
      </c>
      <c r="C168" s="49" t="s">
        <v>14</v>
      </c>
      <c r="D168" s="50">
        <v>45749</v>
      </c>
      <c r="E168" s="50">
        <v>45888</v>
      </c>
      <c r="F168" s="51">
        <v>158</v>
      </c>
      <c r="G168" s="51">
        <f t="shared" si="4"/>
        <v>139</v>
      </c>
    </row>
    <row r="169" spans="1:7" x14ac:dyDescent="0.3">
      <c r="A169" s="52" t="s">
        <v>676</v>
      </c>
      <c r="B169" s="42" t="s">
        <v>677</v>
      </c>
      <c r="C169" s="42" t="s">
        <v>14</v>
      </c>
      <c r="D169" s="53">
        <v>45784</v>
      </c>
      <c r="E169" s="53">
        <v>45933</v>
      </c>
      <c r="F169" s="54">
        <v>159</v>
      </c>
      <c r="G169" s="54">
        <f t="shared" si="4"/>
        <v>149</v>
      </c>
    </row>
    <row r="170" spans="1:7" ht="43.2" x14ac:dyDescent="0.3">
      <c r="A170" s="48" t="s">
        <v>679</v>
      </c>
      <c r="B170" s="49" t="s">
        <v>680</v>
      </c>
      <c r="C170" s="49" t="s">
        <v>14</v>
      </c>
      <c r="D170" s="50">
        <v>45826</v>
      </c>
      <c r="E170" s="50">
        <v>45965</v>
      </c>
      <c r="F170" s="51">
        <v>160</v>
      </c>
      <c r="G170" s="51">
        <f t="shared" si="4"/>
        <v>139</v>
      </c>
    </row>
    <row r="171" spans="1:7" ht="43.2" x14ac:dyDescent="0.3">
      <c r="A171" s="52" t="s">
        <v>684</v>
      </c>
      <c r="B171" s="42" t="s">
        <v>685</v>
      </c>
      <c r="C171" s="42" t="s">
        <v>14</v>
      </c>
      <c r="D171" s="53">
        <v>45819</v>
      </c>
      <c r="E171" s="53">
        <v>45973</v>
      </c>
      <c r="F171" s="54">
        <v>161</v>
      </c>
      <c r="G171" s="54">
        <f t="shared" si="4"/>
        <v>154</v>
      </c>
    </row>
    <row r="172" spans="1:7" ht="57.6" x14ac:dyDescent="0.3">
      <c r="A172" s="48" t="s">
        <v>687</v>
      </c>
      <c r="B172" s="49" t="s">
        <v>688</v>
      </c>
      <c r="C172" s="49" t="s">
        <v>14</v>
      </c>
      <c r="D172" s="50">
        <v>45819</v>
      </c>
      <c r="E172" s="50">
        <v>45975</v>
      </c>
      <c r="F172" s="51">
        <v>162</v>
      </c>
      <c r="G172" s="51">
        <f t="shared" si="4"/>
        <v>156</v>
      </c>
    </row>
    <row r="173" spans="1:7" x14ac:dyDescent="0.3">
      <c r="A173" s="52" t="s">
        <v>692</v>
      </c>
      <c r="B173" s="42" t="s">
        <v>693</v>
      </c>
      <c r="C173" s="42" t="s">
        <v>14</v>
      </c>
      <c r="D173" s="53">
        <v>45896</v>
      </c>
      <c r="E173" s="53">
        <v>46014</v>
      </c>
      <c r="F173" s="54">
        <v>163</v>
      </c>
      <c r="G173" s="54">
        <f t="shared" si="4"/>
        <v>118</v>
      </c>
    </row>
    <row r="174" spans="1:7" x14ac:dyDescent="0.3">
      <c r="A174" s="48" t="s">
        <v>696</v>
      </c>
      <c r="B174" s="49" t="s">
        <v>697</v>
      </c>
      <c r="C174" s="49" t="s">
        <v>37</v>
      </c>
      <c r="D174" s="50">
        <v>45756</v>
      </c>
      <c r="E174" s="50">
        <v>45882</v>
      </c>
      <c r="F174" s="51">
        <v>164</v>
      </c>
      <c r="G174" s="51">
        <f t="shared" ref="G174:G205" si="5">E174-D174</f>
        <v>126</v>
      </c>
    </row>
    <row r="175" spans="1:7" x14ac:dyDescent="0.3">
      <c r="A175" s="52" t="s">
        <v>700</v>
      </c>
      <c r="B175" s="42" t="s">
        <v>701</v>
      </c>
      <c r="C175" s="42" t="s">
        <v>37</v>
      </c>
      <c r="D175" s="53">
        <v>45847</v>
      </c>
      <c r="E175" s="53">
        <v>45978</v>
      </c>
      <c r="F175" s="54">
        <v>165</v>
      </c>
      <c r="G175" s="54">
        <f t="shared" si="5"/>
        <v>131</v>
      </c>
    </row>
    <row r="176" spans="1:7" ht="28.8" x14ac:dyDescent="0.3">
      <c r="A176" s="48" t="s">
        <v>704</v>
      </c>
      <c r="B176" s="49" t="s">
        <v>705</v>
      </c>
      <c r="C176" s="49" t="s">
        <v>37</v>
      </c>
      <c r="D176" s="50">
        <v>45791</v>
      </c>
      <c r="E176" s="50">
        <v>45951</v>
      </c>
      <c r="F176" s="51">
        <v>166</v>
      </c>
      <c r="G176" s="51">
        <f t="shared" si="5"/>
        <v>160</v>
      </c>
    </row>
    <row r="177" spans="1:7" ht="43.2" x14ac:dyDescent="0.3">
      <c r="A177" s="52" t="s">
        <v>708</v>
      </c>
      <c r="B177" s="42" t="s">
        <v>709</v>
      </c>
      <c r="C177" s="42" t="s">
        <v>37</v>
      </c>
      <c r="D177" s="53">
        <v>45875</v>
      </c>
      <c r="E177" s="53">
        <v>45993</v>
      </c>
      <c r="F177" s="54">
        <v>167</v>
      </c>
      <c r="G177" s="54">
        <f t="shared" si="5"/>
        <v>118</v>
      </c>
    </row>
    <row r="178" spans="1:7" ht="43.2" x14ac:dyDescent="0.3">
      <c r="A178" s="48" t="s">
        <v>712</v>
      </c>
      <c r="B178" s="49" t="s">
        <v>713</v>
      </c>
      <c r="C178" s="49" t="s">
        <v>37</v>
      </c>
      <c r="D178" s="50">
        <v>45875</v>
      </c>
      <c r="E178" s="50">
        <v>45989</v>
      </c>
      <c r="F178" s="51">
        <v>168</v>
      </c>
      <c r="G178" s="51">
        <f t="shared" si="5"/>
        <v>114</v>
      </c>
    </row>
    <row r="179" spans="1:7" ht="43.2" x14ac:dyDescent="0.3">
      <c r="A179" s="52" t="s">
        <v>715</v>
      </c>
      <c r="B179" s="42" t="s">
        <v>716</v>
      </c>
      <c r="C179" s="42" t="s">
        <v>37</v>
      </c>
      <c r="D179" s="53">
        <v>45875</v>
      </c>
      <c r="E179" s="53">
        <v>45993</v>
      </c>
      <c r="F179" s="54">
        <v>169</v>
      </c>
      <c r="G179" s="54">
        <f t="shared" si="5"/>
        <v>118</v>
      </c>
    </row>
    <row r="180" spans="1:7" x14ac:dyDescent="0.3">
      <c r="A180" s="48" t="s">
        <v>718</v>
      </c>
      <c r="B180" s="49" t="s">
        <v>719</v>
      </c>
      <c r="C180" s="49" t="s">
        <v>37</v>
      </c>
      <c r="D180" s="50">
        <v>45931</v>
      </c>
      <c r="E180" s="50">
        <v>46007</v>
      </c>
      <c r="F180" s="51">
        <v>170</v>
      </c>
      <c r="G180" s="51">
        <f t="shared" si="5"/>
        <v>76</v>
      </c>
    </row>
    <row r="181" spans="1:7" ht="28.8" x14ac:dyDescent="0.3">
      <c r="A181" s="52" t="s">
        <v>722</v>
      </c>
      <c r="B181" s="42" t="s">
        <v>723</v>
      </c>
      <c r="C181" s="42" t="s">
        <v>37</v>
      </c>
      <c r="D181" s="53">
        <v>45953</v>
      </c>
      <c r="E181" s="53">
        <v>45996</v>
      </c>
      <c r="F181" s="54">
        <v>171</v>
      </c>
      <c r="G181" s="54">
        <f t="shared" si="5"/>
        <v>43</v>
      </c>
    </row>
    <row r="182" spans="1:7" ht="28.8" x14ac:dyDescent="0.3">
      <c r="A182" s="48" t="s">
        <v>726</v>
      </c>
      <c r="B182" s="49" t="s">
        <v>727</v>
      </c>
      <c r="C182" s="49" t="s">
        <v>37</v>
      </c>
      <c r="D182" s="50">
        <v>45953</v>
      </c>
      <c r="E182" s="50">
        <v>45996</v>
      </c>
      <c r="F182" s="51">
        <v>172</v>
      </c>
      <c r="G182" s="51">
        <f t="shared" si="5"/>
        <v>43</v>
      </c>
    </row>
    <row r="183" spans="1:7" ht="28.8" x14ac:dyDescent="0.3">
      <c r="A183" s="52" t="s">
        <v>729</v>
      </c>
      <c r="B183" s="42" t="s">
        <v>730</v>
      </c>
      <c r="C183" s="42" t="s">
        <v>27</v>
      </c>
      <c r="D183" s="53">
        <v>45553</v>
      </c>
      <c r="E183" s="53">
        <v>45672</v>
      </c>
      <c r="F183" s="54">
        <v>173</v>
      </c>
      <c r="G183" s="54">
        <f t="shared" si="5"/>
        <v>119</v>
      </c>
    </row>
    <row r="184" spans="1:7" x14ac:dyDescent="0.3">
      <c r="A184" s="48" t="s">
        <v>735</v>
      </c>
      <c r="B184" s="49" t="s">
        <v>736</v>
      </c>
      <c r="C184" s="49" t="s">
        <v>27</v>
      </c>
      <c r="D184" s="50">
        <v>45812</v>
      </c>
      <c r="E184" s="50">
        <v>45904</v>
      </c>
      <c r="F184" s="51">
        <v>174</v>
      </c>
      <c r="G184" s="51">
        <f t="shared" si="5"/>
        <v>92</v>
      </c>
    </row>
    <row r="185" spans="1:7" x14ac:dyDescent="0.3">
      <c r="A185" s="52" t="s">
        <v>739</v>
      </c>
      <c r="B185" s="42" t="s">
        <v>740</v>
      </c>
      <c r="C185" s="42" t="s">
        <v>27</v>
      </c>
      <c r="D185" s="53">
        <v>45826</v>
      </c>
      <c r="E185" s="53">
        <v>45870</v>
      </c>
      <c r="F185" s="54">
        <v>175</v>
      </c>
      <c r="G185" s="54">
        <f t="shared" si="5"/>
        <v>44</v>
      </c>
    </row>
    <row r="186" spans="1:7" ht="28.8" x14ac:dyDescent="0.3">
      <c r="A186" s="48" t="s">
        <v>743</v>
      </c>
      <c r="B186" s="49" t="s">
        <v>744</v>
      </c>
      <c r="C186" s="49" t="s">
        <v>27</v>
      </c>
      <c r="D186" s="50">
        <v>45819</v>
      </c>
      <c r="E186" s="50">
        <v>45849</v>
      </c>
      <c r="F186" s="51">
        <v>176</v>
      </c>
      <c r="G186" s="51">
        <f t="shared" si="5"/>
        <v>30</v>
      </c>
    </row>
    <row r="187" spans="1:7" ht="28.8" x14ac:dyDescent="0.3">
      <c r="A187" s="52" t="s">
        <v>747</v>
      </c>
      <c r="B187" s="42" t="s">
        <v>748</v>
      </c>
      <c r="C187" s="42" t="s">
        <v>27</v>
      </c>
      <c r="D187" s="53">
        <v>45875</v>
      </c>
      <c r="E187" s="53">
        <v>45980</v>
      </c>
      <c r="F187" s="54">
        <v>177</v>
      </c>
      <c r="G187" s="54">
        <f t="shared" si="5"/>
        <v>105</v>
      </c>
    </row>
    <row r="188" spans="1:7" ht="28.8" x14ac:dyDescent="0.3">
      <c r="A188" s="48" t="s">
        <v>750</v>
      </c>
      <c r="B188" s="49" t="s">
        <v>751</v>
      </c>
      <c r="C188" s="49" t="s">
        <v>27</v>
      </c>
      <c r="D188" s="50">
        <v>45875</v>
      </c>
      <c r="E188" s="50">
        <v>45995</v>
      </c>
      <c r="F188" s="51">
        <v>178</v>
      </c>
      <c r="G188" s="51">
        <f t="shared" si="5"/>
        <v>120</v>
      </c>
    </row>
    <row r="189" spans="1:7" ht="43.2" x14ac:dyDescent="0.3">
      <c r="A189" s="52" t="s">
        <v>754</v>
      </c>
      <c r="B189" s="42" t="s">
        <v>755</v>
      </c>
      <c r="C189" s="42" t="s">
        <v>27</v>
      </c>
      <c r="D189" s="53">
        <v>45875</v>
      </c>
      <c r="E189" s="53">
        <v>45995</v>
      </c>
      <c r="F189" s="54">
        <v>179</v>
      </c>
      <c r="G189" s="54">
        <f t="shared" si="5"/>
        <v>120</v>
      </c>
    </row>
    <row r="190" spans="1:7" ht="28.8" x14ac:dyDescent="0.3">
      <c r="A190" s="48" t="s">
        <v>757</v>
      </c>
      <c r="B190" s="49" t="s">
        <v>758</v>
      </c>
      <c r="C190" s="49" t="s">
        <v>27</v>
      </c>
      <c r="D190" s="50">
        <v>45875</v>
      </c>
      <c r="E190" s="50">
        <v>45995</v>
      </c>
      <c r="F190" s="51">
        <v>180</v>
      </c>
      <c r="G190" s="51">
        <f t="shared" si="5"/>
        <v>120</v>
      </c>
    </row>
    <row r="191" spans="1:7" ht="43.2" x14ac:dyDescent="0.3">
      <c r="A191" s="52" t="s">
        <v>760</v>
      </c>
      <c r="B191" s="42" t="s">
        <v>761</v>
      </c>
      <c r="C191" s="42" t="s">
        <v>27</v>
      </c>
      <c r="D191" s="53">
        <v>45875</v>
      </c>
      <c r="E191" s="53">
        <v>45995</v>
      </c>
      <c r="F191" s="54">
        <v>181</v>
      </c>
      <c r="G191" s="54">
        <f t="shared" si="5"/>
        <v>120</v>
      </c>
    </row>
    <row r="192" spans="1:7" ht="43.2" x14ac:dyDescent="0.3">
      <c r="A192" s="48" t="s">
        <v>763</v>
      </c>
      <c r="B192" s="49" t="s">
        <v>764</v>
      </c>
      <c r="C192" s="49" t="s">
        <v>27</v>
      </c>
      <c r="D192" s="50">
        <v>45853</v>
      </c>
      <c r="E192" s="50">
        <v>45924</v>
      </c>
      <c r="F192" s="51">
        <v>182</v>
      </c>
      <c r="G192" s="51">
        <f t="shared" si="5"/>
        <v>71</v>
      </c>
    </row>
    <row r="193" spans="1:7" x14ac:dyDescent="0.3">
      <c r="A193" s="52" t="s">
        <v>768</v>
      </c>
      <c r="B193" s="42" t="s">
        <v>769</v>
      </c>
      <c r="C193" s="42" t="s">
        <v>27</v>
      </c>
      <c r="D193" s="53">
        <v>45931</v>
      </c>
      <c r="E193" s="53">
        <v>46007</v>
      </c>
      <c r="F193" s="54">
        <v>183</v>
      </c>
      <c r="G193" s="54">
        <f t="shared" si="5"/>
        <v>76</v>
      </c>
    </row>
    <row r="194" spans="1:7" x14ac:dyDescent="0.3">
      <c r="A194" s="48" t="s">
        <v>772</v>
      </c>
      <c r="B194" s="49" t="s">
        <v>773</v>
      </c>
      <c r="C194" s="49" t="s">
        <v>27</v>
      </c>
      <c r="D194" s="50">
        <v>45938</v>
      </c>
      <c r="E194" s="50">
        <v>46009</v>
      </c>
      <c r="F194" s="51">
        <v>184</v>
      </c>
      <c r="G194" s="51">
        <f t="shared" si="5"/>
        <v>71</v>
      </c>
    </row>
    <row r="195" spans="1:7" ht="28.8" x14ac:dyDescent="0.3">
      <c r="A195" s="52" t="s">
        <v>776</v>
      </c>
      <c r="B195" s="42" t="s">
        <v>777</v>
      </c>
      <c r="C195" s="42" t="s">
        <v>27</v>
      </c>
      <c r="D195" s="53">
        <v>45952</v>
      </c>
      <c r="E195" s="53">
        <v>45995</v>
      </c>
      <c r="F195" s="54">
        <v>185</v>
      </c>
      <c r="G195" s="54">
        <f t="shared" si="5"/>
        <v>43</v>
      </c>
    </row>
    <row r="196" spans="1:7" ht="28.8" x14ac:dyDescent="0.3">
      <c r="A196" s="48" t="s">
        <v>780</v>
      </c>
      <c r="B196" s="49" t="s">
        <v>781</v>
      </c>
      <c r="C196" s="49" t="s">
        <v>782</v>
      </c>
      <c r="D196" s="50">
        <v>45853</v>
      </c>
      <c r="E196" s="50">
        <v>45982</v>
      </c>
      <c r="F196" s="51">
        <v>186</v>
      </c>
      <c r="G196" s="51">
        <f t="shared" si="5"/>
        <v>129</v>
      </c>
    </row>
    <row r="197" spans="1:7" ht="28.8" x14ac:dyDescent="0.3">
      <c r="A197" s="52" t="s">
        <v>788</v>
      </c>
      <c r="B197" s="42" t="s">
        <v>789</v>
      </c>
      <c r="C197" s="42" t="s">
        <v>99</v>
      </c>
      <c r="D197" s="53">
        <v>45736</v>
      </c>
      <c r="E197" s="53">
        <v>45791</v>
      </c>
      <c r="F197" s="54">
        <v>188</v>
      </c>
      <c r="G197" s="54">
        <f t="shared" si="5"/>
        <v>55</v>
      </c>
    </row>
    <row r="198" spans="1:7" ht="28.8" x14ac:dyDescent="0.3">
      <c r="A198" s="48" t="s">
        <v>794</v>
      </c>
      <c r="B198" s="49" t="s">
        <v>795</v>
      </c>
      <c r="C198" s="49" t="s">
        <v>99</v>
      </c>
      <c r="D198" s="50">
        <v>45840</v>
      </c>
      <c r="E198" s="50">
        <v>45840</v>
      </c>
      <c r="F198" s="51">
        <v>189</v>
      </c>
      <c r="G198" s="51">
        <f t="shared" si="5"/>
        <v>0</v>
      </c>
    </row>
    <row r="199" spans="1:7" ht="28.8" x14ac:dyDescent="0.3">
      <c r="A199" s="52" t="s">
        <v>798</v>
      </c>
      <c r="B199" s="42" t="s">
        <v>799</v>
      </c>
      <c r="C199" s="42" t="s">
        <v>99</v>
      </c>
      <c r="D199" s="53">
        <v>45973</v>
      </c>
      <c r="E199" s="53">
        <v>45975</v>
      </c>
      <c r="F199" s="54">
        <v>190</v>
      </c>
      <c r="G199" s="54">
        <f t="shared" si="5"/>
        <v>2</v>
      </c>
    </row>
    <row r="200" spans="1:7" ht="28.8" x14ac:dyDescent="0.3">
      <c r="A200" s="48" t="s">
        <v>802</v>
      </c>
      <c r="B200" s="49" t="s">
        <v>803</v>
      </c>
      <c r="C200" s="49" t="s">
        <v>99</v>
      </c>
      <c r="D200" s="50">
        <v>45994</v>
      </c>
      <c r="E200" s="50">
        <v>46010</v>
      </c>
      <c r="F200" s="51">
        <v>191</v>
      </c>
      <c r="G200" s="51">
        <f t="shared" si="5"/>
        <v>16</v>
      </c>
    </row>
    <row r="201" spans="1:7" x14ac:dyDescent="0.3">
      <c r="A201" s="52" t="s">
        <v>805</v>
      </c>
      <c r="B201" s="42" t="s">
        <v>806</v>
      </c>
      <c r="C201" s="42" t="s">
        <v>134</v>
      </c>
      <c r="D201" s="53">
        <v>45945</v>
      </c>
      <c r="E201" s="53">
        <v>46003</v>
      </c>
      <c r="F201" s="54">
        <v>192</v>
      </c>
      <c r="G201" s="54">
        <f t="shared" si="5"/>
        <v>58</v>
      </c>
    </row>
    <row r="202" spans="1:7" ht="28.8" x14ac:dyDescent="0.3">
      <c r="A202" s="48" t="s">
        <v>809</v>
      </c>
      <c r="B202" s="49" t="s">
        <v>810</v>
      </c>
      <c r="C202" s="49" t="s">
        <v>134</v>
      </c>
      <c r="D202" s="50">
        <v>45994</v>
      </c>
      <c r="E202" s="50">
        <v>46009</v>
      </c>
      <c r="F202" s="51">
        <v>193</v>
      </c>
      <c r="G202" s="51">
        <f t="shared" si="5"/>
        <v>15</v>
      </c>
    </row>
    <row r="203" spans="1:7" ht="43.2" x14ac:dyDescent="0.3">
      <c r="A203" s="52" t="s">
        <v>814</v>
      </c>
      <c r="B203" s="42" t="s">
        <v>815</v>
      </c>
      <c r="C203" s="42" t="s">
        <v>14</v>
      </c>
      <c r="D203" s="53">
        <v>45427</v>
      </c>
      <c r="E203" s="53">
        <v>45726</v>
      </c>
      <c r="F203" s="54">
        <v>196</v>
      </c>
      <c r="G203" s="54">
        <f t="shared" si="5"/>
        <v>299</v>
      </c>
    </row>
    <row r="204" spans="1:7" ht="43.2" x14ac:dyDescent="0.3">
      <c r="A204" s="48" t="s">
        <v>822</v>
      </c>
      <c r="B204" s="49" t="s">
        <v>815</v>
      </c>
      <c r="C204" s="49" t="s">
        <v>14</v>
      </c>
      <c r="D204" s="50">
        <v>45427</v>
      </c>
      <c r="E204" s="50">
        <v>45686</v>
      </c>
      <c r="F204" s="51">
        <v>197</v>
      </c>
      <c r="G204" s="51">
        <f t="shared" si="5"/>
        <v>259</v>
      </c>
    </row>
    <row r="205" spans="1:7" ht="43.2" x14ac:dyDescent="0.3">
      <c r="A205" s="52" t="s">
        <v>826</v>
      </c>
      <c r="B205" s="42" t="s">
        <v>827</v>
      </c>
      <c r="C205" s="42" t="s">
        <v>14</v>
      </c>
      <c r="D205" s="53">
        <v>45805</v>
      </c>
      <c r="E205" s="53">
        <v>45826</v>
      </c>
      <c r="F205" s="54">
        <v>198</v>
      </c>
      <c r="G205" s="54">
        <f t="shared" si="5"/>
        <v>21</v>
      </c>
    </row>
    <row r="206" spans="1:7" ht="43.2" x14ac:dyDescent="0.3">
      <c r="A206" s="48" t="s">
        <v>829</v>
      </c>
      <c r="B206" s="49" t="s">
        <v>827</v>
      </c>
      <c r="C206" s="49" t="s">
        <v>14</v>
      </c>
      <c r="D206" s="50">
        <v>45427</v>
      </c>
      <c r="E206" s="50">
        <v>45679</v>
      </c>
      <c r="F206" s="51">
        <v>199</v>
      </c>
      <c r="G206" s="51">
        <f t="shared" ref="G206:G213" si="6">E206-D206</f>
        <v>252</v>
      </c>
    </row>
    <row r="207" spans="1:7" ht="43.2" x14ac:dyDescent="0.3">
      <c r="A207" s="52" t="s">
        <v>834</v>
      </c>
      <c r="B207" s="42" t="s">
        <v>835</v>
      </c>
      <c r="C207" s="42" t="s">
        <v>14</v>
      </c>
      <c r="D207" s="53">
        <v>45609</v>
      </c>
      <c r="E207" s="53">
        <v>45793</v>
      </c>
      <c r="F207" s="54">
        <v>200</v>
      </c>
      <c r="G207" s="54">
        <f t="shared" si="6"/>
        <v>184</v>
      </c>
    </row>
    <row r="208" spans="1:7" ht="43.2" x14ac:dyDescent="0.3">
      <c r="A208" s="48" t="s">
        <v>840</v>
      </c>
      <c r="B208" s="49" t="s">
        <v>835</v>
      </c>
      <c r="C208" s="49" t="s">
        <v>14</v>
      </c>
      <c r="D208" s="50">
        <v>45609</v>
      </c>
      <c r="E208" s="50">
        <v>45757</v>
      </c>
      <c r="F208" s="51">
        <v>201</v>
      </c>
      <c r="G208" s="51">
        <f t="shared" si="6"/>
        <v>148</v>
      </c>
    </row>
    <row r="209" spans="1:7" ht="43.2" x14ac:dyDescent="0.3">
      <c r="A209" s="52" t="s">
        <v>845</v>
      </c>
      <c r="B209" s="42" t="s">
        <v>835</v>
      </c>
      <c r="C209" s="42" t="s">
        <v>14</v>
      </c>
      <c r="D209" s="53">
        <v>45609</v>
      </c>
      <c r="E209" s="53">
        <v>45789</v>
      </c>
      <c r="F209" s="54">
        <v>202</v>
      </c>
      <c r="G209" s="54">
        <f t="shared" si="6"/>
        <v>180</v>
      </c>
    </row>
    <row r="210" spans="1:7" ht="43.2" x14ac:dyDescent="0.3">
      <c r="A210" s="48" t="s">
        <v>848</v>
      </c>
      <c r="B210" s="49" t="s">
        <v>835</v>
      </c>
      <c r="C210" s="49" t="s">
        <v>14</v>
      </c>
      <c r="D210" s="50">
        <v>45609</v>
      </c>
      <c r="E210" s="50">
        <v>45757</v>
      </c>
      <c r="F210" s="51">
        <v>203</v>
      </c>
      <c r="G210" s="51">
        <f t="shared" si="6"/>
        <v>148</v>
      </c>
    </row>
    <row r="211" spans="1:7" ht="43.2" x14ac:dyDescent="0.3">
      <c r="A211" s="52" t="s">
        <v>851</v>
      </c>
      <c r="B211" s="42" t="s">
        <v>835</v>
      </c>
      <c r="C211" s="42" t="s">
        <v>14</v>
      </c>
      <c r="D211" s="53">
        <v>45609</v>
      </c>
      <c r="E211" s="53">
        <v>45789</v>
      </c>
      <c r="F211" s="54">
        <v>204</v>
      </c>
      <c r="G211" s="54">
        <f t="shared" si="6"/>
        <v>180</v>
      </c>
    </row>
    <row r="212" spans="1:7" ht="43.2" x14ac:dyDescent="0.3">
      <c r="A212" s="48" t="s">
        <v>854</v>
      </c>
      <c r="B212" s="49" t="s">
        <v>835</v>
      </c>
      <c r="C212" s="49" t="s">
        <v>14</v>
      </c>
      <c r="D212" s="50">
        <v>45609</v>
      </c>
      <c r="E212" s="50">
        <v>45789</v>
      </c>
      <c r="F212" s="51">
        <v>205</v>
      </c>
      <c r="G212" s="51">
        <f t="shared" si="6"/>
        <v>180</v>
      </c>
    </row>
    <row r="213" spans="1:7" ht="43.2" x14ac:dyDescent="0.3">
      <c r="A213" s="52" t="s">
        <v>857</v>
      </c>
      <c r="B213" s="42" t="s">
        <v>835</v>
      </c>
      <c r="C213" s="42" t="s">
        <v>14</v>
      </c>
      <c r="D213" s="53">
        <v>45609</v>
      </c>
      <c r="E213" s="53">
        <v>45786</v>
      </c>
      <c r="F213" s="54">
        <v>206</v>
      </c>
      <c r="G213" s="54">
        <f t="shared" si="6"/>
        <v>177</v>
      </c>
    </row>
    <row r="216" spans="1:7" x14ac:dyDescent="0.3">
      <c r="A216" s="64" t="s">
        <v>979</v>
      </c>
      <c r="B216" s="65"/>
      <c r="C216" s="65"/>
      <c r="D216" s="65"/>
    </row>
    <row r="217" spans="1:7" x14ac:dyDescent="0.3">
      <c r="A217" s="63" t="s">
        <v>3</v>
      </c>
      <c r="B217" s="63" t="s">
        <v>980</v>
      </c>
      <c r="C217" s="63" t="s">
        <v>981</v>
      </c>
      <c r="D217" s="63" t="s">
        <v>982</v>
      </c>
    </row>
    <row r="218" spans="1:7" x14ac:dyDescent="0.3">
      <c r="A218" s="55" t="s">
        <v>14</v>
      </c>
      <c r="B218" s="55">
        <v>77</v>
      </c>
      <c r="C218" s="56">
        <v>140.30000000000001</v>
      </c>
      <c r="D218" s="55" t="s">
        <v>983</v>
      </c>
    </row>
    <row r="219" spans="1:7" x14ac:dyDescent="0.3">
      <c r="A219" t="s">
        <v>37</v>
      </c>
      <c r="B219">
        <v>24</v>
      </c>
      <c r="C219" s="57">
        <v>100.1</v>
      </c>
      <c r="D219" t="s">
        <v>984</v>
      </c>
    </row>
    <row r="220" spans="1:7" x14ac:dyDescent="0.3">
      <c r="A220" s="55" t="s">
        <v>27</v>
      </c>
      <c r="B220" s="55">
        <v>26</v>
      </c>
      <c r="C220" s="56">
        <v>73.400000000000006</v>
      </c>
      <c r="D220" s="55" t="s">
        <v>985</v>
      </c>
    </row>
    <row r="221" spans="1:7" x14ac:dyDescent="0.3">
      <c r="A221" t="s">
        <v>782</v>
      </c>
      <c r="B221">
        <v>1</v>
      </c>
      <c r="C221" s="57">
        <v>129</v>
      </c>
      <c r="D221" t="s">
        <v>986</v>
      </c>
    </row>
    <row r="222" spans="1:7" x14ac:dyDescent="0.3">
      <c r="A222" s="55" t="s">
        <v>99</v>
      </c>
      <c r="B222" s="55">
        <v>53</v>
      </c>
      <c r="C222" s="56">
        <v>23</v>
      </c>
      <c r="D222" s="55" t="s">
        <v>987</v>
      </c>
    </row>
    <row r="223" spans="1:7" x14ac:dyDescent="0.3">
      <c r="A223" t="s">
        <v>134</v>
      </c>
      <c r="B223">
        <v>15</v>
      </c>
      <c r="C223" s="57">
        <v>25.1</v>
      </c>
      <c r="D223" t="s">
        <v>988</v>
      </c>
    </row>
    <row r="224" spans="1:7" x14ac:dyDescent="0.3">
      <c r="A224" s="55" t="s">
        <v>109</v>
      </c>
      <c r="B224" s="55">
        <v>4</v>
      </c>
      <c r="C224" s="56">
        <v>4</v>
      </c>
      <c r="D224" s="55" t="s">
        <v>989</v>
      </c>
    </row>
    <row r="227" spans="1:6" x14ac:dyDescent="0.3">
      <c r="A227" s="65"/>
      <c r="B227" s="65"/>
      <c r="C227" s="65"/>
      <c r="D227" s="65"/>
      <c r="E227" s="65"/>
      <c r="F227" s="65"/>
    </row>
  </sheetData>
  <autoFilter ref="A13:G213" xr:uid="{00000000-0009-0000-0000-000002000000}"/>
  <mergeCells count="11">
    <mergeCell ref="A216:D216"/>
    <mergeCell ref="A227:F227"/>
    <mergeCell ref="A9:G11"/>
    <mergeCell ref="A1:G1"/>
    <mergeCell ref="A8:G8"/>
    <mergeCell ref="E5:G6"/>
    <mergeCell ref="A12:G12"/>
    <mergeCell ref="C5:D6"/>
    <mergeCell ref="A5:B6"/>
    <mergeCell ref="A2:G2"/>
    <mergeCell ref="E4:G4"/>
  </mergeCells>
  <pageMargins left="0.75" right="0.75" top="1" bottom="1" header="0.5" footer="0.5"/>
  <pageSetup fitToHeight="0" orientation="landscape"/>
  <headerFooter>
    <oddFooter>&amp;CPágina &amp;P de &amp;N&amp;RContratos formalizados 2025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Contratos 2025</vt:lpstr>
      <vt:lpstr>Resumen adjudicatarios</vt:lpstr>
      <vt:lpstr>Cálculo periodo medio</vt:lpstr>
      <vt:lpstr>'Cálculo periodo medio'!Área_de_impresión</vt:lpstr>
      <vt:lpstr>'Cálculo periodo medio'!Títulos_a_imprimir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2026-10-29T10:42:49Z</dcterms:created>
  <dcterms:modified xsi:type="dcterms:W3CDTF">2026-10-29T10:57:47Z</dcterms:modified>
  <cp:category/>
  <cp:contentStatus/>
</cp:coreProperties>
</file>